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3035" activeTab="0"/>
  </bookViews>
  <sheets>
    <sheet name="сентябрь (детализация)" sheetId="1" r:id="rId1"/>
  </sheets>
  <definedNames>
    <definedName name="_xlnm.Print_Titles" localSheetId="0">'сентябрь (детализация)'!$4:$7</definedName>
    <definedName name="_xlnm.Print_Area" localSheetId="0">'сентябрь (детализация)'!$A$1:$T$150</definedName>
  </definedNames>
  <calcPr fullCalcOnLoad="1"/>
</workbook>
</file>

<file path=xl/sharedStrings.xml><?xml version="1.0" encoding="utf-8"?>
<sst xmlns="http://schemas.openxmlformats.org/spreadsheetml/2006/main" count="749" uniqueCount="332">
  <si>
    <t>08</t>
  </si>
  <si>
    <t>0</t>
  </si>
  <si>
    <t>40</t>
  </si>
  <si>
    <t/>
  </si>
  <si>
    <t>07</t>
  </si>
  <si>
    <t>06</t>
  </si>
  <si>
    <t>05</t>
  </si>
  <si>
    <t>04</t>
  </si>
  <si>
    <t>03</t>
  </si>
  <si>
    <t>02</t>
  </si>
  <si>
    <t>01</t>
  </si>
  <si>
    <t>3</t>
  </si>
  <si>
    <t>22</t>
  </si>
  <si>
    <t>2</t>
  </si>
  <si>
    <t>1</t>
  </si>
  <si>
    <t>21</t>
  </si>
  <si>
    <t>20</t>
  </si>
  <si>
    <t>18</t>
  </si>
  <si>
    <t>17</t>
  </si>
  <si>
    <t>16</t>
  </si>
  <si>
    <t>15</t>
  </si>
  <si>
    <t>5</t>
  </si>
  <si>
    <t>14</t>
  </si>
  <si>
    <t>4</t>
  </si>
  <si>
    <t>13</t>
  </si>
  <si>
    <t>12</t>
  </si>
  <si>
    <t>11</t>
  </si>
  <si>
    <t>10</t>
  </si>
  <si>
    <t>09</t>
  </si>
  <si>
    <t xml:space="preserve">    К В Р </t>
  </si>
  <si>
    <t xml:space="preserve">    К Ц С Р </t>
  </si>
  <si>
    <t>Муниципальная программа "Развитие систем гражданской защиты населения городского округа город Мегион в 2014-2019 годах"</t>
  </si>
  <si>
    <t>подпрограмма "Развитие и укрепление материально-технической базы единой диспетчерской службы  городского округа город Мегион"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</si>
  <si>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</si>
  <si>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</si>
  <si>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основное мероприятие "Совершенствование системы оповещения населения городского округа"</t>
  </si>
  <si>
    <t>подпрограмма "Предупреждение и ликвидация чрезвычайных ситуаций"</t>
  </si>
  <si>
    <t>основное мероприятие "Обеспечение деятельности казенного учреждением  "Управление гражданской защиты населения"</t>
  </si>
  <si>
    <t>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</si>
  <si>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Муниципальная программа  "Улучшение условий и охраны труда в  городском округе город Мегион на 2014-2020 годы"</t>
  </si>
  <si>
    <t>основное мероприятие "Совершенствование государственного управления охраной труда в городском округе город Мегион"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</si>
  <si>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</si>
  <si>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</si>
  <si>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городском округе город Мегион"</t>
  </si>
  <si>
    <t>основное мероприятие "Содействие развитию малого и среднего предпринимательства в городском округе"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</si>
  <si>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</si>
  <si>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Муниципальная программа "Поддержка  социально - ориентированных некоммерческих организаций на 2014-2020 годы"</t>
  </si>
  <si>
    <t>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</si>
  <si>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подпрограмма  "Организация бюджетного процесса в городском округе"</t>
  </si>
  <si>
    <t>Муниципальная программа "Управление муниципальными финансами городского округа город Мегион на 2014 - 2020 годы"</t>
  </si>
  <si>
    <t>основное мероприятие "Обеспечение деятельности Департамента финансов администрации города"</t>
  </si>
  <si>
    <t>основное мероприятие "Обеспечение деятельности казенного учреждения "Централизованная бухгалтерия"</t>
  </si>
  <si>
    <t>подпрограмма  "Управление муниципальным долгом"</t>
  </si>
  <si>
    <t>основное мероприятие "Обслуживание муниципального долга городского округа "</t>
  </si>
  <si>
    <t>Муниципальная программа "Развитие культуры и туризма в городском округе город Мегион на 2014 - 2020 годы"</t>
  </si>
  <si>
    <t>подпрограмма "Обеспечение прав граждан на доступ к культурным ценностям и информации"</t>
  </si>
  <si>
    <t>основное мероприятие "Создание условий для развития общедоступных библиотек городского округа"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</si>
  <si>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</si>
  <si>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учреждений"</t>
  </si>
  <si>
    <t>основное мероприятие "Создание городской культурной среды, совершенствование эстетического облика города"</t>
  </si>
  <si>
    <t>подпрограмма "Укрепление единого культурного пространства в городском округе"</t>
  </si>
  <si>
    <t>основное мероприятие "Поиск, выявление, сопровождение и развитие талантливых детей и молодежи"</t>
  </si>
  <si>
    <t>основное мероприятие "Развитие профессионального искусства и создание условий для художественно-творческой деятельности"</t>
  </si>
  <si>
    <t>подпрограмма "Реализация единой государственной политики в отрасли культура"</t>
  </si>
  <si>
    <t>основное мероприятие "Развитие и обеспечение деятельности учреждений"</t>
  </si>
  <si>
    <t>Муниципальная программа "Развитие муниципальной службы в городском округе город Мегион на 2014-2020 годы"</t>
  </si>
  <si>
    <t>основное мероприятие "Повышение  уровня профессиональной компетентности муниципальных служащих"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</si>
  <si>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</si>
  <si>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</si>
  <si>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Муниципальная программа "Развитие физической культуры и спорта в муниципальном образовании  город Мегион на 2014 -2020 годы"</t>
  </si>
  <si>
    <t>подпрограмма "Развитие массовой физической культуры и спорта"</t>
  </si>
  <si>
    <t>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</si>
  <si>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</si>
  <si>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подпрограмма "Подготовка спортивного резерва"</t>
  </si>
  <si>
    <t>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</si>
  <si>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основное мероприятие "Обеспечение спортивным оборудованием, экипировкой и инвентарем"</t>
  </si>
  <si>
    <t>Муниципальная программа "Управление муниципальным имуществом городского округа город Мегион на 2014-2020 годы"</t>
  </si>
  <si>
    <t>основное мероприятие "Обеспечение деятельности Департаментом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</si>
  <si>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</si>
  <si>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"Ремонт муниципального имущества"</t>
  </si>
  <si>
    <t>основное мероприятие "Капитальный ремонт и реконструкция муниципального имущества"</t>
  </si>
  <si>
    <t>Муниципальная программа "Обеспечение доступным и комфортным жильем жителей городского округа город Мегион в 2014-2020 годах"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</si>
  <si>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</si>
  <si>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</si>
  <si>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</si>
  <si>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</si>
  <si>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</si>
  <si>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городского округа город Мегион"</t>
  </si>
  <si>
    <t>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</si>
  <si>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</si>
  <si>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</si>
  <si>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Муниципальная программа "Развитие информационного общества на территории городского округа город Мегион на 2014-2019 годы"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</si>
  <si>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</si>
  <si>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</si>
  <si>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городского округа город Мегион"</t>
  </si>
  <si>
    <t>Муниципальная программа "Развитие транспортной системы городского округа город Мегион на 2014-2019 годы"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</si>
  <si>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</si>
  <si>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</si>
  <si>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</si>
  <si>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</si>
  <si>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основное мероприятие " Обеспечение функционирования сети автомобильных дорог общего пользования городского округа"</t>
  </si>
  <si>
    <t>подпрограмма   "Повышение безопасности дорожного движения в городском округе город Мегион"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</si>
  <si>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</si>
  <si>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</si>
  <si>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подпрограмма  "Содержание объектов внешнего благоустройства городского округа  город Мегион"</t>
  </si>
  <si>
    <t>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</si>
  <si>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основное мероприятие "Обеспечение единого порядка содержания объектов внешнего благоустройства"</t>
  </si>
  <si>
    <t>подпрограмма "Модернизация и реформирование жилищно-коммунального комплекса городского округа город Мегион"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</si>
  <si>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</si>
  <si>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</si>
  <si>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</si>
  <si>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"Строительство и реконструкция объектов коммунального комплекса"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</si>
  <si>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</si>
  <si>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</si>
  <si>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городского округа город Мегион"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</si>
  <si>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</si>
  <si>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городского округа город Мегион"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</si>
  <si>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</si>
  <si>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Муниципальная программа "Мероприятия в области градостроительной деятельности городского округа город Мегион на 2014 год и период до 2019 года"</t>
  </si>
  <si>
    <t>основное мероприятие "Совершенствование системы управления градостроительным развитием территории"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</si>
  <si>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</si>
  <si>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основное мероприятие "Повышение доступности объектов социальной инфраструктуры для инвалидов и других маломобильных групп населения"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</si>
  <si>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</si>
  <si>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</si>
  <si>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</si>
  <si>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</si>
  <si>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</si>
  <si>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</si>
  <si>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</si>
  <si>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</si>
  <si>
    <t>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</si>
  <si>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</si>
  <si>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подпрограмма "Образование"</t>
  </si>
  <si>
    <t>основное мероприятие "Обеспечение деятельности департамента социальной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</si>
  <si>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</si>
  <si>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</si>
  <si>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</si>
  <si>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основное мероприятие "Обеспечение безопасности и комфортных условий образовательного процесса"</t>
  </si>
  <si>
    <t>основное мероприятие "Подготовка  учреждений образования и молодежной политики к осенне-зимнему периоду"</t>
  </si>
  <si>
    <t>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</si>
  <si>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основное мероприятие "Организация отдыха и оздоровления детей"</t>
  </si>
  <si>
    <t>основное мероприятие  "Обеспечение развития молодежной политики и патриотического воспитания граждан Российской Федерации"</t>
  </si>
  <si>
    <t>основное мероприятие "Содействие трудовой занятости, деловой активности, профессиональному самоопределению молодежи"</t>
  </si>
  <si>
    <t>№ муниципальной программы</t>
  </si>
  <si>
    <t>Приложение</t>
  </si>
  <si>
    <t>Наименование муниципальной программы городского округа город Мегион</t>
  </si>
  <si>
    <t>Примечание</t>
  </si>
  <si>
    <t>Изменения сводной бюджетной росписи (+;-)                 (тыс. рублей)</t>
  </si>
  <si>
    <t>Проект с учетом внесенных изменений                   (тыс. рублей)</t>
  </si>
  <si>
    <t>Муниципальная программа "Развитие муниципального управления на 2015-2019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</si>
  <si>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</si>
  <si>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</si>
  <si>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</si>
  <si>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</si>
  <si>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</si>
  <si>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</si>
  <si>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</si>
  <si>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деятельности , исполнения функций и выполнения полномочий органов администрации"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</si>
  <si>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</si>
  <si>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назначения"</t>
  </si>
  <si>
    <t>Непрограммные расходы органов местного самоуправления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</si>
  <si>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</si>
  <si>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</si>
  <si>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Мегион"</t>
  </si>
  <si>
    <t>основное мероприятие "Формирование резервного фонда администрации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</si>
  <si>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</si>
  <si>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</si>
  <si>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"</t>
  </si>
  <si>
    <t>ВСЕГО РАСХОДОВ:</t>
  </si>
  <si>
    <t>Информация о планируемых изменениях, вносимых в муниципальные программы и непрограммные направления деятельности</t>
  </si>
  <si>
    <t>(+) 264,1 тыс.рублей - увеличен объем  иных межбюджетных трансфертов на издание книги (средства бюджета автономного округа на 01.01.2017)</t>
  </si>
  <si>
    <t>(+) 700,0 тыс. рублей - увеличен объем иных межбюджетных трансфертов на исполнение наказов избирателей депутатов Думы ХМАО-Югры на приобретение снаряжения для занятий парашютным спортом в ММАУ "Старт"(средства бюджета автономного округа)</t>
  </si>
  <si>
    <t>(-) 65,0 тыс.рублей – уменьшен объем межбюджетных трансфертов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(субсидии - 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427,1 тыс.рублей - увеличен объем бюджетных ассигнований на приобретение экипировки и спортивного инвентаря МБУ ДО "Вымпел" (средства Тюменской области);                                                                                                                                                                                           (+) 198,8 тыс.рублей– увеличен объем бюджетных ассигнований на приобретение пневматической винтовки, организацию и участие в тренировочных мероприятиях и соревнованиях МБУ ДО "ДЮСШ "Вымпел" (средства Тюменской области на 01.01.2017);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300,0 тыс.рублей - увеличен объем бюджетных ассигнований на приобретение экипировки и инвентаря МБУ "Спорт-Альтаир" (средства Тюменской области на 01.01.2017);                                                                                                                                                                                                    (+) 490,0 тыс.рублей  - увеличен объеминых межбюджетных трансфертов на исполнение наказов избирателей депутатов Думы ХМАО-Югры на приобретение экипировки МБУ "Спорт-Альтаир" (средства бюджета автономного округа на 01.01.2017);                                                                                                                                                                                                                                                  (+) 467,0 тыс. рублей - увеличен объем иных межбюджетных трансфертов на исполнение наказов избирателей депутатов Думы ХМАО-Югры на приобретение двойного мини-трампа для МБУ ДО "ДЮСШ "Вымпел"(средства бюджета автономного округа)</t>
  </si>
  <si>
    <t>основное мероприятие "Строительство городского кладбища"</t>
  </si>
  <si>
    <t>(+) 16 380,0 тыс.рублей - увеличен объем бюджетных ассигнований на организацию отдыха и оздоровление детей жителей города Мегион и поселка Высокий в течении 2017 года на территории РФ (благотворительное пожертвование ОАО "СН МНГ");                                                                                                 (+) 400,0 тыс. рублей - увеличен объем бюджетных ассигнований на участие поисковых отрядов в поисковых экспедициях (благотворительное пожертвование ОАО "СН МНГ")</t>
  </si>
  <si>
    <t>(+) 300,0 тыс. рублей - увеличен объем бюджетных ассигнований для приобретения жестких дисков для сервера 112 (ФЗ от 06.07.2016 №374-ФЗ) (письмо МКУ "УГЗН" от 04.04.2017 №35-Б)</t>
  </si>
  <si>
    <t>(-) 300,0 тыс. рублей - уменьшен объем бюджетных ассигнований на осуществление ремонтных работ в системе оповещения граждан(в связи с отсутствием  в настоящее время потребности в проведении данных работ) (письмо МКУ "УГЗН" от 04.04.2017 №35-Б)</t>
  </si>
  <si>
    <t>(+) 5 505,0 тыс.рублей – увеличен объем  целевых межбюджетных трансфертов на поддержку малого и среднего предпринимательства (субсидии из бюджета автономного округа);</t>
  </si>
  <si>
    <t>(+) 88,8 тыс. рублей - увеличен объем целевых межбюджетных трансфертов на поддержку отрасли культуры (субсидии из бюджета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(+) 16,1 тыс. рублей - увеличен объем целевых межбюджетных трансфертов на поддержку отрасли культуры (субсидии из федерального бюджета);</t>
  </si>
  <si>
    <t>(+) 102,6 тыс.рублей – увеличен объем целевых межбюджетных трансфертов на обеспечение жильем молодых семей (субсидии из федерального бюджета)</t>
  </si>
  <si>
    <t>(+) 100,0 тыс.рублей - увеличен объем бюджетных ассигнований для проведения комплекса инвентаризационных услуг и разработку технического плана  (письмо МКУ "КС" от 16.03.2017 №909)</t>
  </si>
  <si>
    <t>(+) 50,0 тыс.рублей - увеличен объем иных межбюджетных трансфертов на проведение государственной итоговой аттестации обучающихся (ЕГЭ)(средства бюджета автономного округа);                                                                                                                                                                     (+) 102,0 тыс.рублей– увеличен объем бюджетных ассигнований для приобретения обуви муниципальному бюджетному общеобразовательному учреждению «Средняя общеобразовательная школа №4»(средства Тюменской области);                                                                                        (+) 900,0 тыс. рублей - увеличен объем иных межбюджетных трансфертов на исполнение наказов избирателей депутатов Думы ХМАО-Югры (средства бюджета автономного округа) (в т.ч. 100,0 т.р.- на приобретение мебели Д/с "Рябинка", 700,0 т.р. - на монтаж локальной вычислительной сети в СОШ №3, 100,0 т.р. - на приобретение линолеума, клея для СОШ №1;</t>
  </si>
  <si>
    <t xml:space="preserve">(-)3 792,3 тыс.рублей – уменьшен объем целевых межбюджетных трансфертов на осуществление полномочий по обеспечению жильем отдельных категорий граждан </t>
  </si>
  <si>
    <t>(+) 435,0 тыс. рублей - увеличен объем бюджетных ассигнований на премирование работников МКУ "Мегионские новости" в связи с 25-летием газеты.</t>
  </si>
  <si>
    <t>(+) 1194,9 тыс.рублей -увеличен объем бюджетных ассигнований в связи с внесением изменений в штатное расписание департамента финансов  (письмо Упо БУ администрации от 17.02.17 №38)</t>
  </si>
  <si>
    <t>(-) 81,1 тыс.рублей - уменьшен объем бюджетных ассигнований в связи со сложившейся экономией средств на оплату услуг связи;                                                                  (+) 99,0 тыс.рублей - увеличен объем бюджетных ассигнований на приобретение материалов для проведения ремонтных работ в помещении МКУ "УГЗН"-ремонт пола  (письмо МКУ "УГЗН" от 04.04.2017 №35-Б)</t>
  </si>
  <si>
    <t>(+) 7,5 тыс.рублей– увеличен объем бюджетных ассигнований на организацию и участие в тренировочных мероприятиях и соревнованиях МБУ ДО "ДЮСШ "Вымпел" (средства Тюменской области на 01.01.2017);                                                                                                        (+)110,0 тыс. рублей - увеличен объем бюджетных ассигнований на оплату административного штрафа по МБУ ДО "ДЮСШ "Вымпел"</t>
  </si>
  <si>
    <t>(+) 103,2 тыс.рублей -увеличен объем бюджетных ассигнований на содержание автомобильных дорог и элементов обустройства уличной дорожной сети г.Мегиона и пгт.Высокий (письмо МКУ "КС" от 02.02.2017 №388)</t>
  </si>
  <si>
    <t>(+) 5 700,0 тыс. рублей - увеличен объем бюджетных ассигнований на приобретение объектов недвижимого имущества в государственную (муниципальную) собственность</t>
  </si>
  <si>
    <t>подпрограмма "Создание наемных домов социального использования на территории городского округа город Мегион"</t>
  </si>
  <si>
    <t>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отношений"</t>
  </si>
  <si>
    <t>(+) 292,6 тыс.рублей- увеличен объем бюджетных ассигнований на переподключение сетей тепловодоснабжения МДОУ "ДС КВ №2 "Рябинка" (письмо МКУ "КС" от 02.02.2017 №388);                                                          (+) 4 360,8 тыс. рублей - увеличен объем бюджетных ассигнований на ремонт котла КВГМ 100-150 М №2 на котельной "Южная";                                                                          (+) 350,0 тыс. рублей - увеличен объем бюджетных ассигнований на обслуживание пожарных гидрантов</t>
  </si>
  <si>
    <t>(+) 115,0 тыс. рублей - увеличен объем бюджетных ассигнований на обустройство входной группы МБДОУ ДС Росинка</t>
  </si>
  <si>
    <t>(+) 360,0 тыс. рублей - увеличен объем бюджетных ассигнований для перевода муниципальных услуг в электронный вид</t>
  </si>
  <si>
    <t>(-) 67,3 тыс. рублей - уменьшен объем бюджетных ассигнований на оплату судебных расходов по исполнительным листам (письма УпоБУ от 16.03.2017 №56, от 06.02.2017 №30, от 31.01.2017 №25, от 30.01.2017 №23);                                                                                                     (-) 1 500,0 тыс. рублей - уменьшен объем бюджетных ассигнований для проведения противопожарных мероприятий (письмо УпоБУ от 14.04.2017 №83)</t>
  </si>
  <si>
    <t>(-) 13,3 тыс.рублей- уменьшен объем бюджетных ассигнований по содействию в трудоустройстве незанятых инвалидов на оборудованные (оснащенные) для них рабочие места программы "Содействие занятости населения в ХМАО-Югре на 2014-2020 годы"</t>
  </si>
  <si>
    <t xml:space="preserve">(+) 300,0 тыс. рублей - увеличен объем иных межбюджетных трансфертов на исполнение наказов избирателей депутатов Думы ХМАО-Югры на организацию и проведение второго регионального музейного фестиваля "Хатлые"(средства  бюджета автономного округа);                                                                                                          (+) 500,0 тыс. рублей - увеличен объем бюджетных ассигнований на проведение мероприятий, посвященных празднованию 9Мая (100,0 т.р.) и Дня города (400,0 т.р.) (средства ПАО Банк "Финансовая Корпорация Открытие") </t>
  </si>
  <si>
    <t>(-) 447,0 тыс.рублей -уменьшен объем бюджетных ассигнований на  исполнение решения Мегионского горсуда от 21.10.16г (письмо ДМС от 23.03.17 309/1902);                         (+) 21 828,1 тыс. рублей - увеличен объем бюджетных ассигнований на приобретение жилых помещений по решению суда;                                                                                 (+) 6 341,0 тыс. рублей - увеличен объем бюджетных ассигнований на выплату возмещений за изымаемое имущество, в связи со сносом домов;                                                                                                      (+) 150,0 тыс. рублей - увеличен объем бюджетных ассигнований на проведение оценки изымаемых земельных участков и расположенных на них объектов недвижимого имущества</t>
  </si>
  <si>
    <t>(+) 400,0 тыс. рублей - увеличен объем иных межбюджетных трансфертов на исполнение наказов избирателей депутатов Думы ХМАО-Югры на приобретение компьютерного оборудования для МБУ "МЦИКТ "Вектор"(средства бюджета автономного округа);                                                                          (+) 871,1 тыс. рублей - увеличен объем бюджетных ассигнований на оплату трудав  для МБУ "МЦИКТ "Вектор" связи с увеличением объема муниципальных работ</t>
  </si>
  <si>
    <t>(-) 15 146,2 тыс.рублей – уменьшен объем целевых межбюджетных трансфертов на реконструкцию автодорог: улица Академика Губкина (субсидии бюджета автономного округа);                                                                                                                                                                           (+) 28 146,2 тыс.рублей- увеличен объем целевых межбюджетных трансфертов на капитальный ремонт, ремонт автодорог (субсидии из бюджета автономного округа);                                                                                                                   (-) 103,2 тыс.рублей - уменьшен объем бюджетных ассигнований на обустройство уличной дорожной сети (письмо МКУ "КС" от 02.02.2017 №388);                                                                                                                               (+) 2 600,0 тыс. рублей - увеличен объем бюджетных ассигнований на строительно - монтажные работы (строительство опор под установку камер  видеонаблюдения) и проведение метрологических работ и услуг;                                                                                               (+) 37 000,0 тыс. рублей - увеличен объем бюджетных ассигнований на ремонт внутриквартальных проездов и площадок (6 микрорайон, 1 микрорайон-район ЛДЦ и театральный проезд)</t>
  </si>
  <si>
    <t xml:space="preserve">(+) 725,0 тыс.рублей - увеличен объем бюджетных ассигнований на благоустройство и озеленение территории городского округа город Мегион (благотворительное пожертвование ОАО "СН МНГ" остаток на 01.01.2017);                                                                                                     (-) 50,0 тыс.рублей - уменьшен объем бюджетных ассигнований на реконструкцию базы отдыха Югра  (письмо МКУ"КС" от 28.03.17 №1093);                                                                                                               (-) 392,6 тыс.рублей - уменьшен объем бюджетных ассигнований по подготовке к новогодним праздникам (письмо МКУ "КС" от 02.02.2017 №388, от 16.03.2017 №909);                                                                                        (+) 3 227,0 тыс. рублей - увеличен объем бюджетных ассигнований на ремонт и установку нового игрового оборудования на детских игровых площадках                                         </t>
  </si>
  <si>
    <t>(+) 67,3 тыс.рублей - увеличен объем бюджетных ассигнований на оплату судебных расходов по исполнительным листам   (письма УпоБУ от 16.03.2017 №56, от 06.02.2017 №30, от 31.01.2017 №25, от 30.01.2017 №23);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447,0 тыс.рублей - увеличен объем бюджетных ассигнований на  исполнение решения Мегионского горсуда от 21.10.16 (письмо ДМС от 23.03.17 309/1902);                               (+) 850,0 тыс. рублей - увеличен объем бюджетных ассигнований на оплату исполнительного сбора;                          (+) 500,0 тыс. рублей - увеличен объем бюджетных ассигнований на проведение муниципальных выборов</t>
  </si>
  <si>
    <t xml:space="preserve">(+) 875,0 тыс. рублей - увеличен объем бюджетных ассигнований на изготовление и монтаж навигационного оборудования, пошиф униформы для персонала, приобретение многофункциональных устройств и планшетов </t>
  </si>
  <si>
    <t xml:space="preserve">(-) 3882,2 тыс.рублей- уменьшен объем бюджетных ассигнований в связи с изменением штатного расписания департамента финансов -1194,9 т.р. и МКУ "СО" -2687,3 т.р. (письмо Упо БУ  от 17.02.17 №38, от 20.03.2017 №57);                                                                                    (+) 50,0 тыс. рублей - увеличен объем бюджетных ассигнований на уплату членских взносов </t>
  </si>
  <si>
    <t xml:space="preserve">(+) 50 - увеличен объем бюджетных ассигнований на восстановление и реконструкцию базы отдыха "Югра" (письмо МКУ"КС" от 28.03.17 №1093);                                                                                                              (+) 5 122,0 тыс. рублей - увеличен объем бюджетных ассигнований на проведение ремонтных работ ДК "Сибирь" пгт.Высокий;                           (-) 819,7 тыс. рублей - уменьшен объем бюджетных ассигнований на ремонт МБУ "ЦБС" (ремонт читального зала, замена проводки, установка ограждений крыши), (письмо ДСП от 18.04.2017 №1305-ЛЛ)                            </t>
  </si>
  <si>
    <t>(+) 7 000,0 тыс. рублей - увеличен объем бюджетных ассигнований на ремонт административного здания по ул.Садовая, 7;                                                                                           (+) 819,0 тыс. рублей - увеличен объем бюджетных ассигнований на ремонт кабинетов и кровли здания МКУ "УГЗН";                                           (+) 400,0 тыс. рублей -увеличен объем бюджетных ассигнований на ремонт административного здания по ул.Садовая, 7</t>
  </si>
  <si>
    <t>(+) 160,0 тыс.рублей - увеличен объем бюджетных ассигнований на приобретение канцелярских товаров, ГСМ, питьевой воды для Думы города Мегиона (письмо МКУ "СО" от 11.04.2017 №ДА194);                                                                   (+) 138,0 тыс. рублей - увеличен объем бюджетных ассигнований на приобретение основных средств Думе города;                                               (+) 40,0 тыс. рублей - увеличен объем бюджетных ассигнований на приобретение нефинансовых активов Думе города.</t>
  </si>
  <si>
    <t>(+) 57 750,0 тыс. рублей - увеличен объем  целевых межбюджетных трансфертов на предоставление гранта победителям окружного конкурса «Современная модель развития жилищного строительства муниципального образования» (средства бюджета автономного округа);</t>
  </si>
  <si>
    <t>(-) 302,5 тыс. рублей – уменьшен объем  целевых межбюджетных трансфертов на обеспечение жильем молодых семей (средства бюджета автономного округа)</t>
  </si>
  <si>
    <t>основное мероприятие "Формирование комфортной городской среды"</t>
  </si>
  <si>
    <t>(+) 520,7 тыс. рублей – увеличен объем иных межбюджетных трансфертов на финансирование наказов избирателей депутатам Думы ХМАО-Югры на 2 квартал 2017 года (на приобретение сервера)</t>
  </si>
  <si>
    <t>(+) 240,2 тыс. рублей – увеличен объем иных межбюджетных трансфертов на финансирование наказов избирателей депутатам Думы ХМАО-Югры на 2 квартал 2017 года (на приобретение и модернизацию системы видеонаблюдения)</t>
  </si>
  <si>
    <t>(-) 340,7 тыс.рублей- уменьшен объем бюджетных ассигнований на оплату исполнительных листов</t>
  </si>
  <si>
    <t>(+) 2 000,0 тыс. рублей – увеличен объем иных межбюджетных трансфертов на финансирование наказов избирателей депутатам Думы ХМАО-Югры на 2 квартал 2017 года (на строительство объекта "Аллея славы");                                                                                                   (-) 100,0 тыс. рублей - уменьшен объем бюджетных ассигнований на строительство мемориального комплекса "Аллея славы"</t>
  </si>
  <si>
    <t xml:space="preserve">(-)  150,0 тыс. рублей – уменьшен объем бюджетных ассигнований в целях приобретения перегородок ПВХ и санитарного оборудования на 2 этаж здания по адресу ул.Заречная, 14Б </t>
  </si>
  <si>
    <t>(+) 1 073,0 тыс.рублей - увеличен объем бюджетных ассигнований на приобретение оборудования для конференц-зала администрации города</t>
  </si>
  <si>
    <t xml:space="preserve">(-) 4 177,0 тыс. рублей - уменьшен объем бюджетных ассигнований на обслуживание муниципального долга </t>
  </si>
  <si>
    <t>(+) 2 000,0 тыс. рублей - увеличен объем бюджетных ассигнований на компенсацию выпадающих доходов организациям, предоставляющим населению услуги ЖКХ (вывоз жидких бытовых отходов)</t>
  </si>
  <si>
    <t xml:space="preserve">(+) 2 000,0 тыс. рублей -  увеличен объем бюджетных ассигнований на организацию работы подростков в трудовых отрядах «Зеленый патруль» в летний период за счет средств благотворительного пожертвования ОАО «СН-МНГ» </t>
  </si>
  <si>
    <t>(+) 2 500,0 тыс. рублей - увеличен объем бюджетных ассигнований на оплату труда подростков  в летний период 2017 года</t>
  </si>
  <si>
    <t>(+) 1 021,0 тыс. рублей - увеличен  объем бюджетных ассигнований на выполнения ремонтных работ кровли физкультурно-оздоровительного комплекса "Геолог"</t>
  </si>
  <si>
    <t>(-) 170,0 тыс. рублей - уменьшен объем бюджетных ассигнований в целях доработки автоматизированной информационно-аналитической системы управления муниципальным имуществом (SAUMI);                                                                                                                (-) 323,0 тыс. рублей - уменьшен объем бюджетных ассигнований в целях проведения капитального ремонта, реконструкции и ремонта жилищного фонда городского округа город Мегион</t>
  </si>
  <si>
    <t>(-) 17,9 тыс. рублей - уменьшен объем бюджетных ассигнований в связи с экономией бюджетных средств в результате проведенных конкурсных процедур по заключению муниципальных договоров (контрактов) (письмо МКУ "УГЗН" от 04.04.2017 №35-Б);                                  (+) 2 435,0 тыс. рублей - увеличен объем бюджетных ассигнований на противопожарные мероприятия (письмо МКУ УГЗН от 14.03.2017 №122)</t>
  </si>
  <si>
    <t>(+) 3 573,0 тыс. рублей - увеличен объем бюджетных ассигнований на имущественный взнос учредителя на ведение уставной деятельности автономной некоммерческой организации "Институт развития города";                                                                                                      (+) 2 400,0 тыс. рублей - увеличен объем бюджетных ассигнований на  проектирование 5 микрорайона;                                                                   (+) 200,0 тыс.рублей - приобретение пожарных извещателей</t>
  </si>
  <si>
    <t>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</si>
  <si>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 xml:space="preserve">(+) 2687,3 тыс.рублей- увеличен объем бюджетных ассигнований в связи с изменением штатного расписания МКУ "СО" ( письмо Упо БУ от 20.03.17г №57;                                                                                                    (-) 160,0 тыс.рублей - уменьшен объем бюджетных ассигнований в связи с передачей  на непрограммные расходы по Думе города Мегиона (письмо МКУ "СО" от 11.04.2017 №ДА-194);                                                                          (+) 125,2 тыс. рублей - увеличен объем бюджетных ассигнований на приобретение мини-АТС;                                                                                   (-) 65,0 тыс. рублей - уменьшен объем бюджетных ассигнований на обеспечение деятельности МКУ "СО" </t>
  </si>
  <si>
    <t xml:space="preserve">(+) 200,0 тыс. рублей - увеличен объем бюджетных ассигнований на оплату административного штрафа;                                                                     (+) 1 022,2 тыс. рублей - увеличен объем бюджетных ассигнований на проведение ремонтных и профилактических работ систем теплоснабжения (гидравлические испытания, опрессовка, ремонт), электротехническое измерение и испытание электропроводок и электрооборудования, чистку канализационных колодцев (письмо ДСП от 18.04.2017 №1305-ЛЛ);                                                                      (+) 25,0 тыс. рублей - увеличен бъем бюджетных ассигнований на обеспечение деятельности МКУ "ДЭИ" </t>
  </si>
  <si>
    <t>(+) 5 280,0 тыс.рублей увеличен объем бюджетных ассигнований (путем перераспределения) на предоставление субсидии персонифицированного финансирования дополнительного образования(сертификат дополнительного образования)</t>
  </si>
  <si>
    <t>(+) 350,0 тыс. рублей – увеличен объем иных межбюджетных трансфертов на финансирование наказов избирателей депутатам Думы ХМАО-Югры на 2 квартал 2017 года (на дообследование технического состояния спортивного комплекса "Юность");                    (-) 5 280,0 тыс. рублей -уменьшен объем бюджетных ассигнований (путем перераспределения) на субсидию персонифицированного финансирования дополнительного образования (сертификат дополнительного образования)</t>
  </si>
  <si>
    <r>
      <t xml:space="preserve"> (+) 4 296,0 тыс.рублей – увеличен объем иных межбюджетных трансфертов на исполнение наказов избирателей депутатов Думы ХМАО-Югры по строительству объекта «Аллея Славы» (средства бюджета автономного округа на 01.01.2017);                                                                     </t>
    </r>
    <r>
      <rPr>
        <sz val="8"/>
        <color indexed="10"/>
        <rFont val="Arial"/>
        <family val="2"/>
      </rPr>
      <t>(+) 100,0 тыс.рублей</t>
    </r>
    <r>
      <rPr>
        <sz val="8"/>
        <rFont val="Arial"/>
        <family val="2"/>
      </rPr>
      <t xml:space="preserve"> - увеличен объем бюджетных ассигнований на строительство мемориального комплекса "Аллея славы" (ПИР-ы);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</si>
  <si>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(+) 6 602,1 тыс.рублей-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 (субсидии - из бюджета автономного округа);                  </t>
    </r>
    <r>
      <rPr>
        <sz val="8"/>
        <color indexed="10"/>
        <rFont val="Arial"/>
        <family val="2"/>
      </rPr>
      <t xml:space="preserve">(-) 2 574,0 тыс. рублей -   уменьшен объем целевых межбюджетных трансфертов на строительство спортивного центра с универсальным игровым залом и плоскостными спортивными сооружениями (субсидии - из бюджета автономного округа);                            </t>
    </r>
    <r>
      <rPr>
        <sz val="8"/>
        <rFont val="Arial"/>
        <family val="2"/>
      </rPr>
      <t xml:space="preserve">                       (+) 347,5 тыс. рублей - увеличен объем бюджетных ассигнований на обеспечение доли софинансирования по объекту капитального строительства "Спортивный центр с плоскостными сооружениями";                                                                                                                                   (+) 200,0 тыс.рублей - увеличен объем бюджетных ассигнований на эскизное проектирование зданий спортивного комплекса"Центр единоборств" по ул.Сутормина и ФОК с лыжной трассой по ул.Ленина в пгт Высокий. </t>
    </r>
  </si>
  <si>
    <t>(+) 1 589,2 тыс. рублей - увеличен объем бюджетных ассигнований на проведения капитального ремонта, реконструкции и ремонта жилищного фонда городского округа город Мегион</t>
  </si>
  <si>
    <t>(-) 12 762,2 тыс. рублей - уменьшен объем бюджетных ассигнований на капитальный ремонт и ремон автомобильных дорог и внутриквартальных проездов;                                                                          (+) 6 423,2 тыс. рублей - увеличен объем бюджетных ассигнований с целью обеспечения доли софинансирования по объекту "Автомобильная дорога к пристани г.Мегион (проспект Победы)"</t>
  </si>
  <si>
    <t>(+) 2 500,0 тыс.рублей - увеличен объем бюджетных ассигнований на подготовку учреждений к началу нового учебного года (ДСП - 501,5тр.р, МКУ "КС" - 1 998,5т.р.);                                                                                                                                                       (-) 1569,9 тыс. рублей - уменьшен объем бюджетных ассигнований по ремонту кровли, крыльца МБДОУ ДС №12 "Росинка" (-413,6т.р.) и устройству теневых навесов на территории д/сада "Улыбка"</t>
  </si>
  <si>
    <t xml:space="preserve"> (+) 1 188,0 тыс. рублей -увеличен объем бюджетных ассигнований на   - обеспечение деятельности вновь созданного землеустроительного отдела (МКУ "КС")</t>
  </si>
  <si>
    <t>(+) 170,0 тыс. рублей - увеличен объем бюджетных ассигнований на доработку автоматизированной информационно-аналитической системы управления муниципальным имуществом (SAUMI);                                                                                                                                                   (+) 900,0 тыс. рублей - увеличен объем бюджетных ассигнований на разработку программного обеспечения;                                                                           (+) 25,0 тыс. рублей - увеличен объем бюджетных ассигнований на приобретение оргтехники</t>
  </si>
  <si>
    <t>(+) 1,2 тыс.рублей – увеличен объем  целевых межбюджетных трансфертов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(средства федерального бюджета);                                                                       (-) 15,9 тыс. рублей - уменьшен объем бюджетных ассигнований на реализацию мероприятий по содействию трудоустройству граждан (средства бюджета ХМАО-Югры).</t>
  </si>
  <si>
    <t>(-) 1 021,0 тыс. рублей - уменьшен объем бюджетных ассигнований на капитальный ремонт административного здания по адресу ул.Советская, 19;                                                                              (-)121,8 тыс. рублей - уменьшение бюджетных ассигнований по капитальному ремонту адм. здания п. Высокий, ул. Советская 1</t>
  </si>
  <si>
    <t>(-) 779,6 тыс. рублей- уменьшение бюджетных ассигнований по ремонту муниципального имущества</t>
  </si>
  <si>
    <t>(+) 343,3 тыс.рублей- увеличен объем бюджетных ассигнований на оплату исполнительных листов;                                                                     (+) 200,0 тыс.рублей - увеличен объем бюджетных ассигнований на проведение муниципальных выборов;                                                             (+) 500,0 тыс. рублей - увеличен объем бюджетных ассигнований на оплату исполнительного сбора;                                                                                              (+) 130,0  тыс. рублей -  увеличен объем бюджетных ассигнований на  единовременное денежное вознаграждение  при присвоении почетного звания городского округа город Мегион «Почетный житель города Мегиона».</t>
  </si>
  <si>
    <t>(-) 19,3 тыс. рублей - уменьшение объема бюджетных ассигнований на строительство объекта "Городское кладбище" (2 очередь) 1 этап строительства</t>
  </si>
  <si>
    <t>(-) 2,4 тыс. рублей - уменьшение объема бюджетных ассигнований на обеспечение стабильной благополучной эпизоотической обстановки в автономном округе и защита населения от болезней, общих для человека и животных</t>
  </si>
  <si>
    <t>(+) 2,8 тыс. рублей обеспечение доли софинансирования на комплектование книжных фондов;                                                                                                                                        (+) 0,2 тыс. рублей - увеличен объем  межбюджетных трансфертов на поддержку отрасли культуры</t>
  </si>
  <si>
    <t>(-) 1 000,0 тыс.рублей - уменьшен объем бюджетных ассигнований на реконструкцию МБОУ ДО "ДШИ №2";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2,8 тыс. рублей обеспечение доли софинансирования на комплектование           книжных фондов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1 543,9 тыс.рублей - уменьшен объем бюджетных ассигнований по ремонту ДК "Сибирь"</t>
  </si>
  <si>
    <t>(-) 480,0 тыс. рублей - уменьшен объем бюджетных ассигнований (путем перераспределения) на субсидию персонифицированного финансирования дополнительного образования (сертификат дополнительного образования)</t>
  </si>
  <si>
    <t>(+) 97,5тыс. рублей – увеличен объем бюджетных ассигнований на приобретение спортивной экипировки МБУ ДО "ДЮСШ "Вымпел" за счет средств резервного фонда Правительства Тюменской области;  (+) 100,0 тыс.рублей увеличен объем бюджетных ассигнований на приобретение спортивного оборудования, экипировки , инвентаря МБУ "Спорт-Альтаир" за счет средств резервного фонда Правительства Тюменской области (из общ. суммы 552,0т.р.)</t>
  </si>
  <si>
    <t>(+) 452,0 тыс.рублей -увеличен объем бюджетных ассигнований на участие в учебно-тренировочных мероприятиях по художественной гимнастике МБУ "Спорт-Альтаир" за счет средств резервного фонда Правительства Тюменской области (из общ. суммы 552,0т.р.)</t>
  </si>
  <si>
    <t>(+) 1 991,5 тыс.рублей -увеличен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( в том числе 1 525,4 тыс.рублей средства федерального бюджета и 446,1 тыс.рублей средства автономного округа).</t>
  </si>
  <si>
    <t xml:space="preserve">(-)  21,2 тыс. рублей – уменьшен объем бюджетных ассигнований в целях приобретения перегородки ПВХ и санитарного оборудования </t>
  </si>
  <si>
    <t xml:space="preserve">(+) 309,7 тыс. рублей – увеличен объем иных межбюджетных трансфертов на финансирование наказов избирателей депутатам Думы ХМАО-Югры на 2 квартал 2017 года (приобретение снегохода, саней, дрели);                                                                                             (+)  150,0 тыс. рублей – увеличен объем бюджетных ассигнований на приобретение перегородок ПВХ и санитарного оборудования на 2 этаж здания по адресу ул.Заречная, 14Б                                                   (+)  21,2 тыс. рублей –  увеличен объем бюджетных ассигнований на  приобретение перегородки ПВХ и санитарного оборудования </t>
  </si>
  <si>
    <t>Решение Думы города Мегиона от 25.11.2016 №137 (утверждённый бюджет)        (тыс. рублей)</t>
  </si>
  <si>
    <t>(+) 1 170,0 тыс. рублей - - увеличен объем бюджетных ассигнований на проведение городских культурно-массовых мероприятий, в том числе «Сабантуй» и «День работников нефтяной и газовой промышленности» за счет средств благотворительного пожертвования ОАО «СН-МНГ»;                                                                           (+) 50,0 тыс. рублей - увеличен объем бюджетных ассигнований на организацию проведения музейного фестиваля "Хатлые" для МАУ "РИКиЭЦ" за счет резервного фонда Правительства Тюменской области</t>
  </si>
  <si>
    <t>(-) 1 599,9 тыс. рублей - уменьшен объем бюджетных ассигнований на благоустройство территории городского округа город Мегион в целях соблюдения требований по обеспечению доли софинансирования средств бюджета ХМАО-Югры (местный бюджет);                                                                                                             (+) 2 823,9 тыс. рублей - увеличение бюджетных ассигнований на подготовку объектов к новогодним мероприятиям</t>
  </si>
  <si>
    <t>(+) 14 399,9 тыс. рублей - увеличен объем целевых межбюджетных трансфертов на благоустройство территории городского округа город Мегион (средства бюджета автономного округа- из них 9 599,9 тыс.рублей -строительство мемориала «Аллея Славы» и 4 800,0 тыс.рублей - благоустройство дворовых территорий многоквартирных домов);                                                                                 (+) 1 599,9 тыс. рублей - увеличен объем бюджетных ассигнований на благоустройство территории городского округа город Мегион;                    (+) 100,0 тыс. рублей - увеличен объем бюджетных ассигнований на строительство мемориального комплекса "Аллея славы"</t>
  </si>
  <si>
    <t>(-) 100,0 тыс.рублей - уменьшен объем бюджетных ассигнований на строительство мемориального комплекса "Аллея славы" (ПИР) (письмо МКУ "КС" от 02.02.2017 №388));                                                                                             (+) 3 600,0 тыс. рублей - увеличен объем бюджетных ассигнований на ремонт  МБОУ СОШ №6 (ремонт межпанельных швов и системы отопления);                                                                                                                                               (+) 2 079,0 тыс. рублей - увеличен объем бюджетных ассигнований на устранение предписаний надзорных органов по МБОУ СОШ №4 (2 026,1 т.р. - строительство теневых навесов в  ДС Улыбка, 52,9 тр. - приобретение холодильного оборудования);                                                        (-) 202,5 тыс. рублей - уменьшен объем бюджетных ассигнований на установку козырьков МБДОУ ДС №2 "Рябинка" (письмо ДСП от 18.04.2017 №1305-ЛЛ);                                                                                        (-) 400,0 тыс. рублей - уменьшен объем бюджетных ассигнований на капитальный ремонт здания начальной школы МБОУ СОШ №3 с углубленным изучением отдельных предметов</t>
  </si>
  <si>
    <t>Решение Думы города Мегиона от 28.04.2017 №185 (уточненный бюджет)        (тыс. рублей)</t>
  </si>
  <si>
    <t>Решение Думы города Мегиона от 28.06.2017 №201 (уточненный бюджет)        (тыс. рублей)</t>
  </si>
  <si>
    <t>(+) 5 081,1 тыс.рублей –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4 695,3 тыс.рублей - увеличен объем целевых межбюджетных тансфертов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(средства федерального бюджета).</t>
  </si>
  <si>
    <t>(+) 13 502,7 тыс.рублей -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8,1 тыс.рублей - увеличен объем целевых межбюджетных трансфертов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303,3 тыс.рублей - увеличен объем целевых межбюджетных трансфертов на реализацию мероприятии по содействию трудоустройству граждан.</t>
  </si>
  <si>
    <t xml:space="preserve">(+) 25,2 тыс. рублей - увеличен объем целевых межбюджетных трансфертов на осуществление отдельных полномочий Ханты-Мансийского округа -Югры по организации деятельности по обращению с твердыми коммунальными отходами </t>
  </si>
  <si>
    <t xml:space="preserve">(-) 89,0 тыс.рублей - уменьшен объем целевых межбюджетных трансфертов на развитие сферы культуры в муниципальных образованиях автономного округа;               </t>
  </si>
  <si>
    <t xml:space="preserve">(+) 600,0 тыс.рублей - увеличен объем бюджетных ассигнований путем перерапределения в целях исполнения программных мероприятий, связанных с участием спортсменов в окружных комплексных спортивно-массовых мероприятиях </t>
  </si>
  <si>
    <t>перераспределение</t>
  </si>
  <si>
    <t xml:space="preserve">(-) 49,9 тыс.рублей - уменьшен объем бюджетных ассигнований путем перерапределения на реализацию мероприятий в области образования и молодежной политики;    </t>
  </si>
  <si>
    <t xml:space="preserve">(-) 1 800,0 тыс.рублей - уменьшен объем бюджетных ассигнований путем перерапределения </t>
  </si>
  <si>
    <t>(+) 950,0 тыс.рублей - увеличен обьем бюджетных ассигнований на приобретение новогодних подарков для одаренных детей</t>
  </si>
  <si>
    <t>(+)220,0 тыс.рублей - увеличен обьем бюджетных ассигнований выплату заработной платы и начислений на выплаты по оплате труда в связи с увеличением штатной численности МКУ "ИА "Мегионские новости" (приложение 2);                                                                                                                                                                                                                                        (+)300,0 тыс.рублей  - увеличен обьем бюджетных ассигнований на расширение информационного поля (публикация, изготовление видеороликов) (приложение 2);                                                                                                                                                                                                               (+)100,0 тыс.рублей - увеличен обьем бюджетных ассигнований на оплату коммунальных услуг по адресу: ул.Чехова 1</t>
  </si>
  <si>
    <t xml:space="preserve">(+) 708,1 тыс. рублей - увеличен объем бюджетных ассигнований на выплату заработной платы и начисления на выплаты по оплате труда (приложение2);   </t>
  </si>
  <si>
    <t>перераспределение                                                                                                   (-) 127,2 тыс.рублей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(+) 100,0 тыс. рублей - увеличен объем бюджетных ассигнований на разработку эскизного архитектурного проекта МАУ "Театр музыки"</t>
  </si>
  <si>
    <t>(-) 991,2 тыс.рублей - уменьшен объем бюджетных ассигнований в целях соблюдения доли софинансирования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местного бюджета);                                                                                                                                 (-) 1 228,0 тыс. рублей -  уменьшен объем бюджетных ассигнований для обеспечения выполнения мероприятий муниципальной программы</t>
  </si>
  <si>
    <t>(+) 300,0 тыс. рублей - увеличен объем бюджетных ассигнований на организацию пассажирских перевозок по муниципальным маршрутам</t>
  </si>
  <si>
    <t>(-) 1 281,6 тыс. рублей - уменьшен объем бюджетных ассигнований за счет экономии, сложившейся по результатам проведенных аукционов, котировок</t>
  </si>
  <si>
    <t xml:space="preserve">(+) 128 844,6 тыс. рублей -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(в том числе 122 041,3 тыс. рублей - автомобильная дорога к пристани г.Мегион (проспект Победы); 6 803,3 тыс. рублей - автодорога улица Губкина, автодорога к пристани проспект Победы);                          (+) 6 803,3 тыс. рублей - увеличен объем бюджетных ассигнований в целях обеспечения доли софинансирования автодорога улица Губкина, автодорога к пристани проспект Победы;                                                         (-) 551,3 тыс. рублей - уменьшен объем бюджетных ассигнований за счет экономии, сложившейся по результатам проведенных аукционов, котировок                                                     </t>
  </si>
  <si>
    <t>(-) 186,6 тыс. рублей - уменьшен объем бюджетных ассигнований за счет экономии, сложившейся по результатам проведенных аукционов, котировок</t>
  </si>
  <si>
    <t>(-) 1 304,7 тыс. рублей - уменьшен объем бюджетных ассигнований для обеспечения выполнения мероприятий муниципальной программы;                                                                                                                                                (+) 820,7 тыс. рублей - увеличен объем бюджетных ассигнований на оснащение пункта временного размещения населения раскладушками и постельными принадлежностями</t>
  </si>
  <si>
    <t xml:space="preserve">(+) 1 323,6 тыс. рублей - увеличен объем бюджетных ассигнований путём перераспределения в целях выполнения мероприятий муниципальной программы                                                                                               </t>
  </si>
  <si>
    <t>(+) 348,6 тыс. рублей - увеличен объем бюджетных ассигнований на оплата стоимости проезда и провоза багажа к месту использования отпуска и обратно работникам МКУ "ЦБ"</t>
  </si>
  <si>
    <t xml:space="preserve">(-) 35,9 тыс. рублей - уменьшен объем бюджетных ассигнований для обеспечения выполнения мероприятий муниципальной программы     </t>
  </si>
  <si>
    <t xml:space="preserve">(+) 2 822,4 тыс.рублей - увеличен объем целевых межбюджетных трансфертов на благоустройство территории городского округа город Мегион, из них: 1 881,6 тыс.рублей - строительство мемориального комплекса "Аллея Славы" и 940,8 тыс.рублей - благоустройство дворовых территорий многоквартирных домов (средства федерального бюджета);
(-) 2 367,8 тыс.рублей - уменьшен объем целевых межбюджетных трансфертов на благоустройство территории городского округа город Мегион, из них: 1 578,5 тыс.рублей - строительство мемориального комплекса "Аллея Славы" и 789,3 тыс.рублей - благоустройство дворовых территорий многоквартирных домов (средства автономного округа)                                                                                                                                          
</t>
  </si>
  <si>
    <t>(+) 11 472,1 тыс.рублей - увеличен объем целевых межбюджетных трансфертов на реконструкцию, расширение, модернизацию, строительство и капитальный ремонт объектов коммунального комплекса;                                                                                                                                                                 (+) 100,0 тыс. рпублей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            (+) 2 448,5 тыс. рублей - увеличен объем бюджетных ассигнований на погашение задолженности по муниципальному контракту, в соответствии с решением Арбитражного суда ХМАО-Югры от 25.09.2017 по делу №А75-11895/2017 (программное мероприятие "Газификация пгт.Высокий, г.Мегион (ПИР)")</t>
  </si>
  <si>
    <t xml:space="preserve"> </t>
  </si>
  <si>
    <t>(-) 3,5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(+) 35,8 тыс. рублей - увеличен объем бюджетных ассигнований на увеличен объем бюджетных ассигнований путём перераспределения в целях выполнения мероприятий муниципальной программы</t>
  </si>
  <si>
    <t>(-) 1 877,0 тыс.рублей - уменьшен объем целевых межбюджетных трансфертов в целях обеспечения реализации полномочий в области строительства, градостроительной деятельности и жилищных отношений;                                                                                                                                  (-) 232,0 тыс. рублей - уменьшен объем бюджетных ассигнований в целях соблюдения доли софинансирования мероприятий в рамках реализации полномочий в области строительства, градостроительной деятельности и жилищных отношений</t>
  </si>
  <si>
    <t xml:space="preserve">(-) 539,0 тыс. рублей - уменьшен объем  целевых межбюджетных трансфертов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движения;                                                                                                                                      (+) 1 400,0 тыс. рублей - увеличен объем бюджетных ассигнований на  модернизация программного обеспечения и интеграция с системой ФИС ГИБДД </t>
  </si>
  <si>
    <t>(+) 15 233,5 тыс. рублей - увеличен объем целевых межбюджетных трансфертов   на предоставление государственных услуг в многофункциональных центрах предоставления государственных и муниципальных услуг;                                                                                                            (-) 8 512,0 - уменьшен объем бюджетных ассигнований на предоставление государственных услуг в многофункциональных центрах предоставления государственных и муниципальных услуг</t>
  </si>
  <si>
    <t>(-) 2 040,0 тыс. рублей - уменьшен объем бюджетных ассигнований за счет экономии, сложившейся по результатам проведенных аукционов, котировок</t>
  </si>
  <si>
    <t xml:space="preserve">(-) 187,0 тыс.рублей уменьшен объем бюджетных ассигнований по выплатам компенсации расходов на оплату стоимости проезда и провоза багажа к месту использования отпуска и обратно;                                                      (-) 400,0 тыс.рублей уменьшен объем бюджетных ассигнований на оплату труда подростков   </t>
  </si>
  <si>
    <t>(-) 0,1 тыс. рублей - уменьшен объем целевых межбюджетных трансфертов на обеспечение жильем молодых семей в рамках федеральной целевой программы "Жилище" на 2015-2020 годы</t>
  </si>
  <si>
    <t>(-) 14,3 тыс. рублей - уменьшен объем бюджетных ассигнований за счет экономии, сложившейся по результатам проведенных аукционов, котировок (приложение 1)</t>
  </si>
  <si>
    <t>(+) 18,9 тыс. рублей - увеличен объем бюджетных ассигнований путём перераспределения в целях выполнения мероприятий муниципальной программы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(+) 820,7 тыс. рублей - увеличен объем бюджетных ассигнований на оснащение пункта временного размещения населения раскладушками и постельными принадлежностями</t>
  </si>
  <si>
    <t xml:space="preserve">(+) 950,0 тыс.рублей - увеличен обьем бюджетных ассигнований на приобретение новогодних подарков для одаренных детей </t>
  </si>
  <si>
    <t xml:space="preserve">(+) 708,2 тыс. рублей - увеличен объем бюджетных ассигнований на выплату заработной платы и начисления на выплаты по оплате труда (приложение1);   </t>
  </si>
  <si>
    <t>(+) 2 475,0 тыс. рублей - увеличен объем бюджетных ассигнований на Субсидии на возмещение недополученных доходов организациям осуществляющим вывоз жидких бытовых отходов</t>
  </si>
  <si>
    <t>(+) 11 472,1 тыс.рублей - увеличен объем целевых межбюджетных трансфертов на реконструкцию, расширение, модернизацию, строительство и капитальный ремонт объектов коммунального комплекса;                                                                                                                                                                 (+) 100,0 тыс. рублей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            (+) 2 448,5 тыс. рублей - увеличен объем бюджетных ассигнований на погашение задолженности по муниципальному контракту, в соответствии с решением Арбитражного суда ХМАО-Югры от 25.09.2017 по делу №А75-11895/2017 (программное мероприятие "Газификация пгт.Высокий, г.Мегион (ПИР)");                                                                 (+) 2 475,0 тыс. рублей - увеличен объем бюджетных ассигнований на субсидии на возмещение недополученных доходов организациям, осуществляющим вывоз жидких бытовых отходов</t>
  </si>
  <si>
    <t>(-) 14,3 тыс. рублей - уменьшен объем бюджетных ассигнований за счет экономии, сложившейся по результатам проведенных аукционов, котировок</t>
  </si>
  <si>
    <t>(+)220,0 тыс.рублей - увеличен обьем бюджетных ассигнований на выплату заработной платы и начислений на выплаты по оплате труда в связи с увеличением штатной численности МКУ "ИА "Мегионские новости";                                                                                                                                                                                                                                        (+)300,0 тыс.рублей  - увеличен обьем бюджетных ассигнований на расширение информационного поля (публикация, изготовление видеороликов);                                                                                                                                                                                                              (+)100,0 тыс.рублей - увеличен обьем бюджетных ассигнований на оплату коммунальных услуг по адресу: ул.Чехова 1</t>
  </si>
  <si>
    <t xml:space="preserve">(-) 2 040,0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(-) 1 800,0 тыс.рублей - уменьшен объем бюджетных ассигнований путем перераспределения в целях заключения договор на содержание муниципальных дошкольных учреждений. </t>
  </si>
  <si>
    <t xml:space="preserve">(+) 128 844,6 тыс. рублей -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(в том числе 122 041,3 тыс. рублей - автомобильная дорога к пристани г.Мегион (проспект Победы); 6 803,3 тыс. рублей - капитальный ремонт и ремонт дорог общего пользования);                                                                                             (+) 6 803,3 тыс. рублей - увеличен объем бюджетных ассигнований в целях обеспечения доли софинансирования на капитальный ремонт и ремонт дорог;                                                                                                                                                    (-) 551,3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(+) 300,0 тыс. рублей - увеличен объем бюджетных ассигнований на организацию пассажирских перевозок по муниципальным маршрутам   </t>
  </si>
  <si>
    <t>Приложение 2</t>
  </si>
  <si>
    <t>к пояснительной записке</t>
  </si>
  <si>
    <r>
      <t xml:space="preserve">(-) 89,0 тыс.рублей - уменьшен объем целевых межбюджетных трансфертов на развитие сферы культуры в муниципальных образованиях автономного округа;                                                                                                                                                                                                                                 (-) 446,5 </t>
    </r>
    <r>
      <rPr>
        <sz val="8"/>
        <color indexed="8"/>
        <rFont val="Arial"/>
        <family val="2"/>
      </rPr>
      <t>тыс. рублей - уменьшен объем бюджетных ассигнований путем перерапределения в целях исполнения программных мероприятий;                                                                                                                                                                                                                                                          (-) 127,2 тыс.рублей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       (+) 100,0 тыс. рублей - увеличен объем бюджетных ассигнований на разработку эскизного архитектурного проекта МАУ "Театр музыки"</t>
    </r>
  </si>
  <si>
    <r>
      <t xml:space="preserve">(+) 34 384,2 тыс.рублей - увеличен объем целевых межбюджетных трансфертов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(+) 1 164,6 тыс.рублей - увеличен объем бюджетных ассигнований путем перерапределения;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56"/>
        <rFont val="Arial"/>
        <family val="2"/>
      </rPr>
      <t xml:space="preserve">(-) 1 503,3 тыс. рублей - экономия бюджетных ассигнований в связи с реорганизацией МБОУ СОШ №7;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10 648,9 тыс. рублей - увеличен объем бюджетных ассигнований на оплату налога на имущество и земельного налога (приложение2);                                                                                                                                                                                                                                                                       (+)  6 160,6 тыс. рублей - увеличен объем бюджетных ассигнований на устранение нарушений в соответствии с требованиями Роспотребнадзора в образовательных учреждениях (приложение 2);                                                                                                                                               (+)  880,2 тыс. рублей - увеличен объем бюджетных ассигнований  для защиты и аттестация автоматизированных  рабочих мест, с целью доступа к Единому Порталу государственных и муниципальных услуг (функций) и АИАС "Регион.Контингент" (приложение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183,7 тыс. рублей - увеличен объем бюджетных ассигнований на начисления на выплаты по оплате труда МАДОУ ДС "Умка" (приложение2);   </t>
    </r>
  </si>
  <si>
    <r>
      <t xml:space="preserve">(-) 25 673,9 тыс. рублей - 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5 458,3 тыс. рублей - увеличен объем целевых межбюджетных трансфертов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396,0 тыс. рублей - 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Югры;                                                                                                                                                                                              (-) 3 231,4 тыс. рублей - уменьшен объем целевых межбюджетных трансфертов на дополнительное финансовое обеспечение мероприятий по организации питания обучающихся;                                                                                        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(+) 548,9 тыс.рублей 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56"/>
        <rFont val="Arial"/>
        <family val="2"/>
      </rPr>
      <t xml:space="preserve">(+) 399,8 тыс. рублей - увеличен объем бюджетных ассигнований на выплату заработной платы и начисления на выплаты по оплате труда МКУ "ЦРО" (приложение2);   </t>
    </r>
  </si>
  <si>
    <t xml:space="preserve">(+) 9 871,0 тыс. рублей - увеличен объем бюджетных ассигнований на создание наемных домов социального использования;                                                (+) 96 441,2 тыс.рублей - увеличен объем целевых межбюджетных трансфертов на создание наемных домов социального использование;                                                                                                                                  (+) 232,0 тыс. рублей - увеличен объем бюджетных ассигнований в целях соблюдения доли софинансирования мероприятий на создание наемных домов социального использование;                                                                                        </t>
  </si>
  <si>
    <t>(+) 9 871,0 тыс. рублей - увеличен объем бюджетных ассигнований на создание наемных домов социального использования;                                                (+) 96 441,2 тыс.рублей - увеличен объем целевых межбюджетных трансфертов на создание наемных домов социального использование;                                                                                                                                  (+) 232,0 тыс. рублей - увеличен объем бюджетных ассигнований в целях соблюдения доли софинансирования мероприятий на создание наемных домов социального использование.</t>
  </si>
  <si>
    <t>(-) 120,9 тыс. рублей – уменьшен объем бюджетных ассигнований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родителей.</t>
  </si>
  <si>
    <t>(+) 1 501,2 тыс. рублей - увеличен объем бюджетных ассигнований на компенсацию стоимости проезда и провоза багажа к месту использования отпуска и обратно, начисления на оплату труда в связи с увеличением предельной базы для начисления страховых взносов, увеличение фонда оплаты в связи с получением гранта за достижение наиболее высоких показателей качества организации и осуществления бюджетного процесса на компенсацию (в соответствии п 4.5. п4 пост ХМАО от 24.12.2007 т№333-п);                                              (+) 25,2 тыс. рублей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     (-) 318,3 тыс. рублей - уменьшен объем бюджетных ассигнований за счет экономии, сложившейся по результатам проведенных аукционов, котировок</t>
  </si>
  <si>
    <t>(-) 185,5 тыс.рублей- уменьшен объем бюджетных ассигнований в связи с невостребованностью средств</t>
  </si>
  <si>
    <t>(+) 185,5 тыс.рублей- увеличен объем бюджетных ассигнований на оплату исполнительных листов;                                                                           (+) 800,0 тыс. рублей - увеличен объем бюджетных ассигнований на оплату исполнительных листов;                                                                              (+) 2 604,8 тыс. рублей - увеличен объем бюджетных ассигнований на доплату к пенсиям муниципальных служащих;                                                            (+) 300,0 тыс. рублей - увеличен объем бюджетных ассигнований на обеспечение мер социальной поддержки в виде социальных выплат лицам, пострадавшим в результате пожара;                                                           (+) 115,0 тыс. рублей - увеличение объема бюджетных ассигнований на единовременные выплаты к Почетной грамоте Думы города</t>
  </si>
  <si>
    <t>(+) 1 501,2 тыс. рублей - увеличен объем бюджетных ассигнований на компенсацию стоимости проезда и провоза багажа к месту использования отпуска и обратно, 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процесса;                                                                                                                               (+) 25,2 тыс. рублей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    (-) 318,3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(+) 348,6 тыс. рублей - увеличен объем бюджетных ассигнований на оплату стоимости проезда и провоза багажа к месту использования отпуска и обратно работникам МКУ "ЦБ"</t>
  </si>
  <si>
    <t>(-) 124,5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(+) 322,3 тыс. рублей - увеличен объем бюджетных ассигнований на  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</t>
  </si>
  <si>
    <t>(+) 792,0 тыс. рублей - увеличен объем бюджетных ассигнований на выплату компенсации в связи с оканчанием срочных трудовых договоров;                                                                                                                (+) 347,0 тыс. рублей - увеличен объем бюджетных ассигнований на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</t>
  </si>
  <si>
    <r>
      <t xml:space="preserve">(-) 600,0 тыс.рублей - уменьшен объем бюджетных ассигнований путем перерапределения в целях исполнения программных мероприятий, связанных с участием спортсменов в окружных комплексных спортивно-массовых мероприятиях;                                             (+) 247,5 тыс. рублей - увеличен объем бюджетных ассигнований путем перерапределения для выплаты компенсации расходов на оплату стоимости проезда и провоза багажа к месту использования отпуска и обратно;                             </t>
    </r>
    <r>
      <rPr>
        <sz val="8"/>
        <color indexed="10"/>
        <rFont val="Arial"/>
        <family val="2"/>
      </rPr>
      <t xml:space="preserve">                                                                 </t>
    </r>
    <r>
      <rPr>
        <sz val="8"/>
        <rFont val="Arial"/>
        <family val="2"/>
      </rPr>
      <t xml:space="preserve">(+)5 431,7 тыс. рублей- увеличен обьем бюджетных ассигнований выплату заработной платы и начислений на выплаты по оплате труда  МБУ "Спорт-Альтаир" и МАУ ДО "ДЮСШ "Юность"  (приложение 2);                                   </t>
    </r>
    <r>
      <rPr>
        <sz val="8"/>
        <color indexed="10"/>
        <rFont val="Arial"/>
        <family val="2"/>
      </rPr>
      <t xml:space="preserve">                                                           </t>
    </r>
    <r>
      <rPr>
        <sz val="8"/>
        <rFont val="Arial"/>
        <family val="2"/>
      </rPr>
      <t>(+)933,6 тыс. рублей -увеличен объем бюджетных ассигнований на оплату налога на имущество и земельного налога (приложение2);</t>
    </r>
    <r>
      <rPr>
        <sz val="8"/>
        <color indexed="10"/>
        <rFont val="Arial"/>
        <family val="2"/>
      </rPr>
      <t xml:space="preserve">     </t>
    </r>
    <r>
      <rPr>
        <sz val="8"/>
        <rFont val="Arial"/>
        <family val="2"/>
      </rPr>
      <t xml:space="preserve">(+) 73,3 тыс.рублей - увеличен объем бюджетных ассигнований  для защиты и аттестация автоматизированных рабочих мест, с целью доступа к Единому Порталу государственных и муниципальных услуг (функций) и АИАС "Регион.Контингент" (приложение 2);        </t>
    </r>
    <r>
      <rPr>
        <sz val="8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(+) 102,0 на проведение измерений и анализов проб отходов и на разработку и согласование проекта нормативов образования отходов и лимитов на их размещение и получение лимитов на размещение отходов (приложение2);                                                        (-) 53,5 тыс.рублей- уменьшен объем бюджетных ассигнований путем перераспределения        </t>
    </r>
    <r>
      <rPr>
        <sz val="8"/>
        <color indexed="10"/>
        <rFont val="Arial"/>
        <family val="2"/>
      </rPr>
      <t xml:space="preserve">                                                           </t>
    </r>
    <r>
      <rPr>
        <sz val="8"/>
        <rFont val="Arial"/>
        <family val="2"/>
      </rPr>
      <t xml:space="preserve">                </t>
    </r>
  </si>
  <si>
    <r>
      <rPr>
        <sz val="8"/>
        <rFont val="Arial"/>
        <family val="2"/>
      </rPr>
      <t xml:space="preserve">(+) 247,5 тыс. рублей - увеличен объем бюджетных ассигнований путем перераспределения для выплаты компенсации расходов на оплату стоимости проезда и провоза багажа к месту использования отпуска и обратно;                    </t>
    </r>
    <r>
      <rPr>
        <sz val="8"/>
        <color indexed="10"/>
        <rFont val="Arial"/>
        <family val="2"/>
      </rPr>
      <t xml:space="preserve">                                                                        </t>
    </r>
    <r>
      <rPr>
        <sz val="8"/>
        <rFont val="Arial"/>
        <family val="2"/>
      </rPr>
      <t xml:space="preserve">(+)5 431,7 тыс. рублей- увеличен обьем бюджетных ассигнований на выплату заработной платы и начислений на выплаты по оплате труда  МБУ "Спорт-Альтаир" и МАУ ДО "ДЮСШ "Юность";    </t>
    </r>
    <r>
      <rPr>
        <sz val="8"/>
        <color indexed="10"/>
        <rFont val="Arial"/>
        <family val="2"/>
      </rPr>
      <t xml:space="preserve">                                                                                                             </t>
    </r>
    <r>
      <rPr>
        <sz val="8"/>
        <rFont val="Arial"/>
        <family val="2"/>
      </rPr>
      <t xml:space="preserve">(+) 933,6 тыс. рублей -увеличен объем бюджетных ассигнований на оплату налога на имущество и земельного налога;        </t>
    </r>
    <r>
      <rPr>
        <sz val="8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(+) 73,3 тыс.рублей - увеличен объем бюджетных ассигнований  для защиты и аттестация автоматизированных рабочих мест, с целью доступа к Единому Порталу государственных и муниципальных услуг (функций) и АИАС "Регион.Контингент";         </t>
    </r>
    <r>
      <rPr>
        <sz val="8"/>
        <color indexed="10"/>
        <rFont val="Arial"/>
        <family val="2"/>
      </rPr>
      <t xml:space="preserve">                                                                                              </t>
    </r>
    <r>
      <rPr>
        <sz val="8"/>
        <rFont val="Arial"/>
        <family val="2"/>
      </rPr>
      <t xml:space="preserve">(-) 600,0 тыс.рублей   объем бюджетных ассигнований путем перерапределения в целях исполнения программных мероприятий, связанных с участием спортсменов в окружных комплексных спортивно-массовых мероприятиях.                        </t>
    </r>
    <r>
      <rPr>
        <sz val="8"/>
        <color indexed="10"/>
        <rFont val="Arial"/>
        <family val="2"/>
      </rPr>
      <t xml:space="preserve">                                       </t>
    </r>
    <r>
      <rPr>
        <sz val="8"/>
        <rFont val="Arial"/>
        <family val="2"/>
      </rPr>
      <t>(+) 102,0 на проведение измерений и анализов проб отходов и на разработку и согласование проекта нормативов образования отходов и лимитов на их размещение и получение лимитов на размещение отходов;                                                                                                   (-) 53,5 тыс.рублей- уменьшен объем бюджетных ассигнований путем перераспределения за счет экономии, сложившейся по результатам проведенных аукционов, котировок;</t>
    </r>
  </si>
  <si>
    <t>(+) 53,5 тыс. рублей- увеличен объем бюджетных ассигнований в целях обеспечения отдыха, оздоровления и занятости детей, подростков и молодежи в осенний период.</t>
  </si>
  <si>
    <t>(-) 5 034,5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(+) 39,0 тыс. рублей – увеличен объем бюджетных ассигнований на ремонт холла административного здания по ул.Нефтяников, 8.</t>
  </si>
  <si>
    <t xml:space="preserve">(-) 134,8 тыс. рублей - уменьшен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(-) 100,0 тыс. рублей -  уменьшен объем бюджетных ассигнований для обеспечения выполнения мероприятий муниципальной программы;                                                                                                           (+) 100,0 тыс. рублей – увеличен объем бюджетных ассигнований на выполнение работ по отсыпке и планировке территории тупика балочного проезда. </t>
  </si>
  <si>
    <t xml:space="preserve">(-) 134,8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(-) 100,0 тыс. рублей -  уменьшен объем бюджетных ассигнований для обеспечения выполнения мероприятий муниципальной программы ;                                                                                                          (+) 2 822,4 тыс.рублей - увеличен объем целевых межбюджетных трансфертов на благоустройство территории городского округа город Мегион, из них: 1 881,6 тыс.рублей - строительство мемориального комплекса "Аллея Славы" и 940,8 тыс.рублей - благоустройство дворовых территорий многоквартирных домов (средства федерального бюджета);
(-) 2 367,8 тыс.рублей - уменьшен объем целевых межбюджетных трансфертов на благоустройство территории городского округа город Мегион, из них: 1 578,5 тыс.рублей - строительство мемориального комплекса "Аллея Славы" и 789,3 тыс.рублей - благоустройство дворовых территорий многоквартирных домов (средства автономного округа);                                                                         (+) 100,0 тыс. рублей – увеличен объем бюджетных ассигнований на выполнение работ по отсыпке и планировке территории тупика балочного проезда. </t>
  </si>
  <si>
    <t>(+) 495,0 тыс. рублей  - увеличен объем бюджетных ассигнований на начисления на оплату труда в связи с увеличением предельной базы для начисления страховых взносов, увеличение фонда оплаты в связи с получением гранта за достижение наиболее высоких показателей качества организации и осуществления бюджетного процесса на компенсацию (в соответствии п 4.5. п4 пост ХМАО от 24.12.2007 т№333-п)</t>
  </si>
  <si>
    <t>(-) 60,0 тыс. рублей - 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(+) 3 618,5 тыс. рублей - увеличен объем бюджетных ассигнований на выплату выходного пособия: по выходу на муниципальную пенсию, сокращению штатов, а так же начисления на оплату труда в связи с увеличением предельной базы для начисления страховых взносов;                                     (+)  980,0 тыс. рублей - увеличен объем бюджетных ассигнований на увеличение фонда оплаты в связи с получением гранта за достижение наиболее высоких показателей качества организации и осуществления бюджетного процесса (в соответствии п 4.5. п4 пост ХМАО от 24.12.2007 т№333-п);                                                                                                                                   (+) 500,0 тыс. рублей - увеличен объем бюджетных ассигнований на возмещение командировочных расходов</t>
  </si>
  <si>
    <t>(+) 34 384,2 тыс.рублей - увеличен объем целевых межбюджетных трансфертов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25 673,9 тыс. рублей - 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5 458,3 тыс. рублей - увеличен объем целевых межбюджетных трансфертов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396,0 тыс. рублей - уменьшен объем целевых межбюджетных трансфертов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Югры;                                                                                                                                                                                              (-) 3 231,4 тыс. рублей - уменьшен объем целевых межбюджетных трансфертов на дополнительное финансовое обеспечение мероприятий по организации питания обучающихся;                                                                                                                                                                                (+)  1 459,3 тыс.рублей 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1 503,3 тыс. рублей - экономия бюджетных ассигнований в связи с реорганизацией МБОУ СОШ №7;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10 648,9 тыс. рублей - увеличен объем бюджетных ассигнований на оплату налога на имущество и земельного налога;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880,2 тыс. рублей - увеличен объем бюджетных ассигнований  для защиты и аттестация автоматизированных  рабочих мест, с целью доступа к Единому Порталу государственных и муниципальных услуг (функций) и АИАС "Регион.Контингент";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183,7 тыс. рублей - увеличен объем бюджетных ассигнований на начисления на выплаты по оплате труда МАДОУ ДС "Умка";                                                                                                                                                                                                                                                              (+) 399,8 тыс. рублей - увеличен объем бюджетных ассигнований на выплату заработной платы и начисления на выплаты по оплате труда МКУ "ЦРО";                                                                                                   (+)  390,0 тыс. рублей - увеличен объем бюджетных ассигнований на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</t>
  </si>
  <si>
    <t>(-) 254,2 тыс. рублей - уменьшен объем бюджетных ассигнований путем перерапределения;                                                                                (+)  390,0 тыс. рублей - увеличен объем бюджетных ассигнований на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процесса;</t>
  </si>
  <si>
    <t>(-) 187,5 тыс.рублей - уменьшен объем бюджетных ассигнований путем перерапределения на реализацию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                 (+) 1 357,7 тыс. рублей - увеличение бюджетных ассигнований на оплату труда подростков;                                                                           (+) 250,0 тыс.рублейувеличен объем бюджетных ассигнований для организации и проведения Молодежного новогоднего бала Главы города;                                                                                                                  (+) 53,5 тыс. рублей- увеличен объем бюджетных ассигнований в целях обеспечения отдыха, оздоровления и занятости детей, подростков и молодежи в осенний период.</t>
  </si>
  <si>
    <t>(+) 400,0 тыс.рублей увеличен объем бюджетных ассигнований на оплату труда подростков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1 357,7 тыс. рублей - увеличение бюджетных ассигнований на оплату труда подростков (приложение 2);                                                              (+) 250,0 тыс.рублей увеличен объем бюджетных ассигнований для организации и проведения Молодежного новогоднего бала Главы города</t>
  </si>
  <si>
    <r>
      <t xml:space="preserve">(+) 154 483,6 тыс.рублей - увеличен объем целевых межбюджетных трансфертов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(+) 991,2 тыс.рублей - увеличен объем бюджетных ассигнований в целях соблюдения доли софинансирования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Федерации;                                                                                                   (+) 3 550,1 тыс. рублей - увеличен объем бюджетных ассигнований в целях обеспечение доли софинансирования на приобретение жилья;                                                                                                                                            (+) 1 228,0 тыс. рублей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(+) 9 500,0 тыс. рублей -  увеличен объем бюджетных ассигнований на выплату выкупной стоимости за изымаемые жилые помещения.                                                                                               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                </t>
    </r>
  </si>
  <si>
    <t>перераспределение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2 001,6 -увеличен обьем бюджетных ассигнований на приобретение оборудования для обеспечения доступа  инвалидов и других маломобильных групп населения к учреждениям культуры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113,1 тыс.рублей -увеличен объем бюджетных ассигнований на оплату налога на имущество и земельного налога                                                                                                                                                                                                                                                                               (+) 146,5 тыс.рублей -  увеличен объем бюджетных ассигнований для защиты и  аттестации автоматизированных рабочих мест, с целью доступа к Единому Порталу государственных и муниципальных услуг (функций) и АИАС «Регион.Контингент».</t>
  </si>
  <si>
    <t>(+) 980,3 тыс.рублей - увеличен объем бюджетных ассигнований путем перерапределения в целях исполнения программных мероприятий                                                                                                                                                                                                                                                 (+) 2001,6 тыс.рублей -увеличен обьем бюджетных ассигнований на приобретение оборудования для обеспечения доступа  инвалидов и других маломобильных групп населения к учреждениям культуры;                                                                                                     (+) 113,1 тыс.рублей -увеличен объем бюджетных ассигнований на оплату налога на имущество и земельного налога;                                                                                                                                                                                                                                                                         (+) 146,5 тыс.рублей - увеличен объем бюджетных ассигнований для защиты и  аттестации автоматизированных рабочих мест, с целью доступа к Единому Порталу государственных и муниципальных услуг (функций) и АИАС «Регион.Контингент».</t>
  </si>
  <si>
    <t>(+) 495,0 тыс. рублей  - увеличен объем бюджетных ассигнований на 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процесса;                                                                                                                                                                                                 (-) 35,9 тыс. рублей - уменьшен объем бюджетных ассигнований для обеспечения выполнения мероприятий муниципальной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(-) 5 034,5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(+) 39,0 тыс. рублей – увеличен объем бюджетных ассигнований на ремонт холла административного здания по ул.Нефтяников, 8.</t>
  </si>
  <si>
    <t xml:space="preserve">(+) 154 483,6 тыс.рублей - увеличен объем целевых межбюджетных трансфертов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(+) 991,2 тыс.рублей - увеличен объем бюджетных ассигнований в целях соблюдения доли софинансирования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Федерации;                                                                                                   (+) 3 550,1 тыс. рублей - увеличен объем бюджетных ассигнований в целях обеспечение доли софинансирования на приобретение жилья;                                                                                                                                            (+) 1 228,0 тыс. рублей - увеличен объем бюджетных ассигнований путём перераспределения в целях выполнения мероприятий муниципальной программы;                                                                                 (+) 9 500,0 тыс. рублей -  увеличен объем бюджетных ассигнований на выплату выкупной стоимости за изымаемые жилые помещения.        </t>
  </si>
  <si>
    <t xml:space="preserve">(-) 278,5 тыс.рублей - уменьшен объем бюджетных ассигнований путем перерапределения на реализацию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                      (-) 1 778,4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(+)  6 160,6 тыс. рублей - увеличен объем бюджетных ассигнований на устранение нарушений в соответствии с требованиями надзорных органов в образовательных учреждениях;    </t>
  </si>
  <si>
    <r>
      <t xml:space="preserve">(-) 228,6 тыс.рублей - уменьшен объем бюджетных ассигнований путем перерапределения на реализацию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(-) 1 778,4 тыс. рублей - уменьшен объем бюджетных ассигнований за счет экономии, сложившейся по результатам проведенных аукционов, котировок (приложение 2)</t>
    </r>
  </si>
  <si>
    <t>(-) 60,0 тыс. рублей - 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(+) 3 618,5 тыс. рублей - увеличен объем бюджетных ассигнований на выплату выходного пособия: по выходу на муниципальную пенсию, сокращению штатов, а так же начисления на оплату труда в связи с увеличением предельной базы для начисления страховых взносов;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980,0 тыс. рублей - увеличен объем бюджетных ассигнований на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500,0 тыс. рублей - увеличен объем бюджетных ассигнований на возмещение командировочных расходов;                                                                          (-) 120,9 тыс. рублей – уменьшен объем бюджетных ассигнований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</si>
</sst>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00"/>
    <numFmt numFmtId="176" formatCode="00\.0\.0000"/>
    <numFmt numFmtId="177" formatCode="0000000000"/>
    <numFmt numFmtId="178" formatCode="00.0.00.00000"/>
    <numFmt numFmtId="179" formatCode="#,##0.0_ ;[Red]\-#,##0.0\ "/>
    <numFmt numFmtId="180" formatCode="#,##0.00_ ;[Red]\-#,##0.00\ 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33" borderId="10" xfId="52" applyFill="1" applyBorder="1" applyProtection="1">
      <alignment/>
      <protection hidden="1"/>
    </xf>
    <xf numFmtId="178" fontId="5" fillId="33" borderId="11" xfId="52" applyNumberFormat="1" applyFont="1" applyFill="1" applyBorder="1" applyAlignment="1" applyProtection="1">
      <alignment wrapText="1"/>
      <protection hidden="1"/>
    </xf>
    <xf numFmtId="178" fontId="5" fillId="33" borderId="12" xfId="52" applyNumberFormat="1" applyFont="1" applyFill="1" applyBorder="1" applyAlignment="1" applyProtection="1">
      <alignment wrapText="1"/>
      <protection hidden="1"/>
    </xf>
    <xf numFmtId="0" fontId="5" fillId="33" borderId="12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12" xfId="52" applyNumberFormat="1" applyFont="1" applyFill="1" applyBorder="1" applyAlignment="1" applyProtection="1">
      <alignment vertical="center"/>
      <protection hidden="1"/>
    </xf>
    <xf numFmtId="174" fontId="5" fillId="33" borderId="12" xfId="52" applyNumberFormat="1" applyFont="1" applyFill="1" applyBorder="1" applyAlignment="1" applyProtection="1">
      <alignment vertical="center"/>
      <protection hidden="1"/>
    </xf>
    <xf numFmtId="0" fontId="2" fillId="33" borderId="0" xfId="52" applyFill="1">
      <alignment/>
      <protection/>
    </xf>
    <xf numFmtId="0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13" xfId="52" applyNumberFormat="1" applyFont="1" applyFill="1" applyBorder="1" applyAlignment="1" applyProtection="1">
      <alignment vertical="center"/>
      <protection hidden="1"/>
    </xf>
    <xf numFmtId="174" fontId="5" fillId="33" borderId="13" xfId="52" applyNumberFormat="1" applyFont="1" applyFill="1" applyBorder="1" applyAlignment="1" applyProtection="1">
      <alignment vertical="center"/>
      <protection hidden="1"/>
    </xf>
    <xf numFmtId="0" fontId="5" fillId="33" borderId="14" xfId="52" applyFont="1" applyFill="1" applyBorder="1" applyAlignment="1" applyProtection="1">
      <alignment wrapText="1"/>
      <protection hidden="1"/>
    </xf>
    <xf numFmtId="181" fontId="5" fillId="33" borderId="12" xfId="52" applyNumberFormat="1" applyFont="1" applyFill="1" applyBorder="1" applyAlignment="1" applyProtection="1">
      <alignment vertical="center"/>
      <protection hidden="1"/>
    </xf>
    <xf numFmtId="179" fontId="5" fillId="33" borderId="12" xfId="52" applyNumberFormat="1" applyFont="1" applyFill="1" applyBorder="1" applyAlignment="1" applyProtection="1">
      <alignment vertical="center"/>
      <protection hidden="1"/>
    </xf>
    <xf numFmtId="179" fontId="5" fillId="33" borderId="13" xfId="52" applyNumberFormat="1" applyFont="1" applyFill="1" applyBorder="1" applyAlignment="1" applyProtection="1">
      <alignment vertical="center"/>
      <protection hidden="1"/>
    </xf>
    <xf numFmtId="0" fontId="5" fillId="33" borderId="15" xfId="52" applyFont="1" applyFill="1" applyBorder="1" applyAlignment="1" applyProtection="1">
      <alignment wrapText="1"/>
      <protection hidden="1"/>
    </xf>
    <xf numFmtId="179" fontId="46" fillId="33" borderId="12" xfId="52" applyNumberFormat="1" applyFont="1" applyFill="1" applyBorder="1" applyAlignment="1" applyProtection="1">
      <alignment vertical="center"/>
      <protection hidden="1"/>
    </xf>
    <xf numFmtId="0" fontId="5" fillId="33" borderId="14" xfId="52" applyFont="1" applyFill="1" applyBorder="1" applyAlignment="1" applyProtection="1">
      <alignment horizontal="left" vertical="center" wrapText="1"/>
      <protection hidden="1"/>
    </xf>
    <xf numFmtId="178" fontId="5" fillId="33" borderId="14" xfId="52" applyNumberFormat="1" applyFont="1" applyFill="1" applyBorder="1" applyAlignment="1" applyProtection="1">
      <alignment vertical="center" wrapText="1"/>
      <protection hidden="1"/>
    </xf>
    <xf numFmtId="178" fontId="5" fillId="33" borderId="12" xfId="52" applyNumberFormat="1" applyFont="1" applyFill="1" applyBorder="1" applyAlignment="1" applyProtection="1">
      <alignment vertical="center" wrapText="1"/>
      <protection hidden="1"/>
    </xf>
    <xf numFmtId="178" fontId="5" fillId="33" borderId="16" xfId="52" applyNumberFormat="1" applyFont="1" applyFill="1" applyBorder="1" applyAlignment="1" applyProtection="1">
      <alignment vertical="center" wrapText="1"/>
      <protection hidden="1"/>
    </xf>
    <xf numFmtId="178" fontId="5" fillId="33" borderId="17" xfId="52" applyNumberFormat="1" applyFont="1" applyFill="1" applyBorder="1" applyAlignment="1" applyProtection="1">
      <alignment vertical="center" wrapText="1"/>
      <protection hidden="1"/>
    </xf>
    <xf numFmtId="0" fontId="6" fillId="33" borderId="0" xfId="52" applyFont="1" applyFill="1">
      <alignment/>
      <protection/>
    </xf>
    <xf numFmtId="0" fontId="10" fillId="33" borderId="0" xfId="52" applyFont="1" applyFill="1" applyAlignment="1">
      <alignment wrapText="1"/>
      <protection/>
    </xf>
    <xf numFmtId="0" fontId="6" fillId="33" borderId="0" xfId="52" applyFont="1" applyFill="1" applyProtection="1">
      <alignment/>
      <protection hidden="1"/>
    </xf>
    <xf numFmtId="0" fontId="10" fillId="33" borderId="0" xfId="52" applyFont="1" applyFill="1" applyAlignment="1" applyProtection="1">
      <alignment wrapText="1"/>
      <protection hidden="1"/>
    </xf>
    <xf numFmtId="0" fontId="2" fillId="33" borderId="0" xfId="52" applyFill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9" fillId="33" borderId="0" xfId="54" applyFont="1" applyFill="1" applyAlignment="1" applyProtection="1">
      <alignment wrapText="1"/>
      <protection hidden="1"/>
    </xf>
    <xf numFmtId="0" fontId="2" fillId="33" borderId="0" xfId="52" applyFill="1" applyBorder="1" applyProtection="1">
      <alignment/>
      <protection hidden="1"/>
    </xf>
    <xf numFmtId="0" fontId="3" fillId="33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33" borderId="20" xfId="52" applyNumberFormat="1" applyFont="1" applyFill="1" applyBorder="1" applyAlignment="1" applyProtection="1">
      <alignment horizontal="center" vertical="center"/>
      <protection hidden="1"/>
    </xf>
    <xf numFmtId="0" fontId="5" fillId="33" borderId="21" xfId="52" applyNumberFormat="1" applyFont="1" applyFill="1" applyBorder="1" applyAlignment="1" applyProtection="1">
      <alignment horizontal="center" vertical="center"/>
      <protection hidden="1"/>
    </xf>
    <xf numFmtId="0" fontId="5" fillId="33" borderId="22" xfId="52" applyNumberFormat="1" applyFont="1" applyFill="1" applyBorder="1" applyAlignment="1" applyProtection="1">
      <alignment horizontal="center" vertical="center"/>
      <protection hidden="1"/>
    </xf>
    <xf numFmtId="0" fontId="5" fillId="33" borderId="23" xfId="52" applyNumberFormat="1" applyFont="1" applyFill="1" applyBorder="1" applyAlignment="1" applyProtection="1">
      <alignment horizontal="center" vertical="center"/>
      <protection hidden="1"/>
    </xf>
    <xf numFmtId="0" fontId="5" fillId="33" borderId="19" xfId="52" applyNumberFormat="1" applyFont="1" applyFill="1" applyBorder="1" applyAlignment="1" applyProtection="1">
      <alignment horizontal="center" vertical="center"/>
      <protection hidden="1"/>
    </xf>
    <xf numFmtId="0" fontId="5" fillId="33" borderId="24" xfId="52" applyNumberFormat="1" applyFont="1" applyFill="1" applyBorder="1" applyAlignment="1" applyProtection="1">
      <alignment horizontal="center" vertical="center"/>
      <protection hidden="1"/>
    </xf>
    <xf numFmtId="0" fontId="5" fillId="33" borderId="25" xfId="52" applyNumberFormat="1" applyFont="1" applyFill="1" applyBorder="1" applyAlignment="1" applyProtection="1">
      <alignment horizontal="center" vertical="center"/>
      <protection hidden="1"/>
    </xf>
    <xf numFmtId="0" fontId="5" fillId="33" borderId="19" xfId="52" applyFont="1" applyFill="1" applyBorder="1" applyAlignment="1" applyProtection="1">
      <alignment horizontal="center" vertical="center" wrapText="1"/>
      <protection hidden="1"/>
    </xf>
    <xf numFmtId="0" fontId="3" fillId="33" borderId="26" xfId="52" applyNumberFormat="1" applyFont="1" applyFill="1" applyBorder="1" applyAlignment="1" applyProtection="1">
      <alignment horizontal="center" vertical="center" wrapText="1"/>
      <protection hidden="1"/>
    </xf>
    <xf numFmtId="173" fontId="3" fillId="33" borderId="27" xfId="52" applyNumberFormat="1" applyFont="1" applyFill="1" applyBorder="1" applyAlignment="1" applyProtection="1">
      <alignment vertical="center"/>
      <protection hidden="1"/>
    </xf>
    <xf numFmtId="0" fontId="5" fillId="33" borderId="28" xfId="52" applyFont="1" applyFill="1" applyBorder="1" applyAlignment="1" applyProtection="1">
      <alignment wrapText="1"/>
      <protection hidden="1"/>
    </xf>
    <xf numFmtId="179" fontId="3" fillId="33" borderId="27" xfId="52" applyNumberFormat="1" applyFont="1" applyFill="1" applyBorder="1" applyAlignment="1" applyProtection="1">
      <alignment vertical="center"/>
      <protection hidden="1"/>
    </xf>
    <xf numFmtId="181" fontId="3" fillId="33" borderId="27" xfId="52" applyNumberFormat="1" applyFont="1" applyFill="1" applyBorder="1" applyAlignment="1" applyProtection="1">
      <alignment vertical="center"/>
      <protection hidden="1"/>
    </xf>
    <xf numFmtId="178" fontId="5" fillId="33" borderId="29" xfId="52" applyNumberFormat="1" applyFont="1" applyFill="1" applyBorder="1" applyAlignment="1" applyProtection="1">
      <alignment wrapText="1"/>
      <protection hidden="1"/>
    </xf>
    <xf numFmtId="0" fontId="5" fillId="33" borderId="14" xfId="52" applyFont="1" applyFill="1" applyBorder="1" applyAlignment="1" applyProtection="1">
      <alignment vertical="top" wrapText="1"/>
      <protection hidden="1"/>
    </xf>
    <xf numFmtId="0" fontId="3" fillId="33" borderId="14" xfId="52" applyFont="1" applyFill="1" applyBorder="1" applyAlignment="1" applyProtection="1">
      <alignment wrapText="1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173" fontId="3" fillId="33" borderId="12" xfId="52" applyNumberFormat="1" applyFont="1" applyFill="1" applyBorder="1" applyAlignment="1" applyProtection="1">
      <alignment vertical="center"/>
      <protection hidden="1"/>
    </xf>
    <xf numFmtId="179" fontId="3" fillId="33" borderId="12" xfId="52" applyNumberFormat="1" applyFont="1" applyFill="1" applyBorder="1" applyAlignment="1" applyProtection="1">
      <alignment vertical="center"/>
      <protection hidden="1"/>
    </xf>
    <xf numFmtId="181" fontId="3" fillId="33" borderId="12" xfId="52" applyNumberFormat="1" applyFont="1" applyFill="1" applyBorder="1" applyAlignment="1" applyProtection="1">
      <alignment vertical="center"/>
      <protection hidden="1"/>
    </xf>
    <xf numFmtId="0" fontId="5" fillId="33" borderId="14" xfId="52" applyFont="1" applyFill="1" applyBorder="1" applyAlignment="1" applyProtection="1">
      <alignment horizontal="center" wrapText="1"/>
      <protection hidden="1"/>
    </xf>
    <xf numFmtId="178" fontId="5" fillId="33" borderId="16" xfId="52" applyNumberFormat="1" applyFont="1" applyFill="1" applyBorder="1" applyAlignment="1" applyProtection="1">
      <alignment wrapText="1"/>
      <protection hidden="1"/>
    </xf>
    <xf numFmtId="178" fontId="5" fillId="33" borderId="17" xfId="52" applyNumberFormat="1" applyFont="1" applyFill="1" applyBorder="1" applyAlignment="1" applyProtection="1">
      <alignment wrapText="1"/>
      <protection hidden="1"/>
    </xf>
    <xf numFmtId="0" fontId="46" fillId="33" borderId="14" xfId="0" applyFont="1" applyFill="1" applyBorder="1" applyAlignment="1">
      <alignment wrapText="1"/>
    </xf>
    <xf numFmtId="0" fontId="46" fillId="33" borderId="14" xfId="0" applyFont="1" applyFill="1" applyBorder="1" applyAlignment="1">
      <alignment horizontal="justify" vertical="center"/>
    </xf>
    <xf numFmtId="0" fontId="46" fillId="33" borderId="14" xfId="0" applyFont="1" applyFill="1" applyBorder="1" applyAlignment="1">
      <alignment horizontal="left" vertical="center" wrapText="1"/>
    </xf>
    <xf numFmtId="49" fontId="5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2" applyFont="1" applyFill="1" applyBorder="1" applyAlignment="1" applyProtection="1">
      <alignment vertical="center" wrapText="1"/>
      <protection hidden="1"/>
    </xf>
    <xf numFmtId="178" fontId="5" fillId="33" borderId="14" xfId="52" applyNumberFormat="1" applyFont="1" applyFill="1" applyBorder="1" applyAlignment="1" applyProtection="1">
      <alignment wrapText="1"/>
      <protection hidden="1"/>
    </xf>
    <xf numFmtId="0" fontId="47" fillId="33" borderId="14" xfId="52" applyFont="1" applyFill="1" applyBorder="1" applyAlignment="1" applyProtection="1">
      <alignment wrapText="1"/>
      <protection hidden="1"/>
    </xf>
    <xf numFmtId="0" fontId="47" fillId="33" borderId="14" xfId="52" applyFont="1" applyFill="1" applyBorder="1" applyAlignment="1" applyProtection="1">
      <alignment vertical="center" wrapText="1"/>
      <protection hidden="1"/>
    </xf>
    <xf numFmtId="0" fontId="48" fillId="33" borderId="14" xfId="52" applyFont="1" applyFill="1" applyBorder="1" applyAlignment="1" applyProtection="1">
      <alignment wrapText="1"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0" fontId="2" fillId="33" borderId="30" xfId="52" applyNumberFormat="1" applyFont="1" applyFill="1" applyBorder="1" applyAlignment="1" applyProtection="1">
      <alignment/>
      <protection hidden="1"/>
    </xf>
    <xf numFmtId="0" fontId="2" fillId="33" borderId="31" xfId="52" applyNumberFormat="1" applyFont="1" applyFill="1" applyBorder="1" applyAlignment="1" applyProtection="1">
      <alignment/>
      <protection hidden="1"/>
    </xf>
    <xf numFmtId="0" fontId="2" fillId="33" borderId="16" xfId="52" applyNumberFormat="1" applyFont="1" applyFill="1" applyBorder="1" applyAlignment="1" applyProtection="1">
      <alignment/>
      <protection hidden="1"/>
    </xf>
    <xf numFmtId="0" fontId="8" fillId="33" borderId="25" xfId="52" applyNumberFormat="1" applyFont="1" applyFill="1" applyBorder="1" applyAlignment="1" applyProtection="1">
      <alignment/>
      <protection hidden="1"/>
    </xf>
    <xf numFmtId="0" fontId="4" fillId="33" borderId="32" xfId="52" applyNumberFormat="1" applyFont="1" applyFill="1" applyBorder="1" applyAlignment="1" applyProtection="1">
      <alignment/>
      <protection hidden="1"/>
    </xf>
    <xf numFmtId="173" fontId="3" fillId="33" borderId="32" xfId="52" applyNumberFormat="1" applyFont="1" applyFill="1" applyBorder="1" applyAlignment="1" applyProtection="1">
      <alignment vertical="center"/>
      <protection hidden="1"/>
    </xf>
    <xf numFmtId="0" fontId="5" fillId="33" borderId="24" xfId="52" applyFont="1" applyFill="1" applyBorder="1" applyAlignment="1" applyProtection="1">
      <alignment wrapText="1"/>
      <protection hidden="1"/>
    </xf>
    <xf numFmtId="179" fontId="3" fillId="33" borderId="32" xfId="52" applyNumberFormat="1" applyFont="1" applyFill="1" applyBorder="1" applyAlignment="1" applyProtection="1">
      <alignment vertical="center"/>
      <protection hidden="1"/>
    </xf>
    <xf numFmtId="181" fontId="3" fillId="33" borderId="32" xfId="52" applyNumberFormat="1" applyFont="1" applyFill="1" applyBorder="1" applyAlignment="1" applyProtection="1">
      <alignment vertical="center"/>
      <protection hidden="1"/>
    </xf>
    <xf numFmtId="0" fontId="5" fillId="33" borderId="0" xfId="52" applyFont="1" applyFill="1" applyAlignment="1">
      <alignment wrapText="1"/>
      <protection/>
    </xf>
    <xf numFmtId="181" fontId="2" fillId="33" borderId="0" xfId="52" applyNumberFormat="1" applyFill="1">
      <alignment/>
      <protection/>
    </xf>
    <xf numFmtId="0" fontId="5" fillId="33" borderId="14" xfId="52" applyFont="1" applyFill="1" applyBorder="1" applyAlignment="1" applyProtection="1">
      <alignment horizontal="left" wrapText="1"/>
      <protection hidden="1"/>
    </xf>
    <xf numFmtId="0" fontId="47" fillId="33" borderId="14" xfId="52" applyFont="1" applyFill="1" applyBorder="1" applyAlignment="1" applyProtection="1">
      <alignment horizontal="left" vertical="center" wrapText="1"/>
      <protection hidden="1"/>
    </xf>
    <xf numFmtId="181" fontId="3" fillId="0" borderId="12" xfId="52" applyNumberFormat="1" applyFont="1" applyFill="1" applyBorder="1" applyAlignment="1" applyProtection="1">
      <alignment vertical="center"/>
      <protection hidden="1"/>
    </xf>
    <xf numFmtId="179" fontId="5" fillId="0" borderId="12" xfId="52" applyNumberFormat="1" applyFont="1" applyFill="1" applyBorder="1" applyAlignment="1" applyProtection="1">
      <alignment vertical="center"/>
      <protection hidden="1"/>
    </xf>
    <xf numFmtId="181" fontId="5" fillId="0" borderId="12" xfId="52" applyNumberFormat="1" applyFont="1" applyFill="1" applyBorder="1" applyAlignment="1" applyProtection="1">
      <alignment vertical="center"/>
      <protection hidden="1"/>
    </xf>
    <xf numFmtId="179" fontId="5" fillId="33" borderId="15" xfId="52" applyNumberFormat="1" applyFont="1" applyFill="1" applyBorder="1" applyAlignment="1" applyProtection="1">
      <alignment horizontal="center" vertical="center"/>
      <protection hidden="1"/>
    </xf>
    <xf numFmtId="179" fontId="5" fillId="33" borderId="28" xfId="52" applyNumberFormat="1" applyFont="1" applyFill="1" applyBorder="1" applyAlignment="1" applyProtection="1">
      <alignment horizontal="center" vertical="center"/>
      <protection hidden="1"/>
    </xf>
    <xf numFmtId="181" fontId="5" fillId="33" borderId="15" xfId="52" applyNumberFormat="1" applyFont="1" applyFill="1" applyBorder="1" applyAlignment="1" applyProtection="1">
      <alignment horizontal="center" vertical="center"/>
      <protection hidden="1"/>
    </xf>
    <xf numFmtId="181" fontId="5" fillId="33" borderId="28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Font="1" applyFill="1" applyBorder="1" applyAlignment="1" applyProtection="1">
      <alignment horizontal="left" vertical="top" wrapText="1"/>
      <protection hidden="1"/>
    </xf>
    <xf numFmtId="0" fontId="5" fillId="33" borderId="28" xfId="52" applyFont="1" applyFill="1" applyBorder="1" applyAlignment="1" applyProtection="1">
      <alignment horizontal="left" vertical="top" wrapText="1"/>
      <protection hidden="1"/>
    </xf>
    <xf numFmtId="173" fontId="5" fillId="33" borderId="15" xfId="52" applyNumberFormat="1" applyFont="1" applyFill="1" applyBorder="1" applyAlignment="1" applyProtection="1">
      <alignment horizontal="center" vertical="center"/>
      <protection hidden="1"/>
    </xf>
    <xf numFmtId="173" fontId="5" fillId="33" borderId="28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8" xfId="52" applyNumberFormat="1" applyFont="1" applyFill="1" applyBorder="1" applyAlignment="1" applyProtection="1">
      <alignment horizontal="center" vertical="center" wrapText="1"/>
      <protection hidden="1"/>
    </xf>
    <xf numFmtId="178" fontId="5" fillId="33" borderId="14" xfId="52" applyNumberFormat="1" applyFont="1" applyFill="1" applyBorder="1" applyAlignment="1" applyProtection="1">
      <alignment vertical="center" wrapText="1"/>
      <protection hidden="1"/>
    </xf>
    <xf numFmtId="178" fontId="5" fillId="33" borderId="15" xfId="52" applyNumberFormat="1" applyFont="1" applyFill="1" applyBorder="1" applyAlignment="1" applyProtection="1">
      <alignment vertical="center" wrapText="1"/>
      <protection hidden="1"/>
    </xf>
    <xf numFmtId="0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5" xfId="52" applyNumberFormat="1" applyFont="1" applyFill="1" applyBorder="1" applyAlignment="1" applyProtection="1">
      <alignment horizontal="center" vertical="center" wrapText="1"/>
      <protection hidden="1"/>
    </xf>
    <xf numFmtId="178" fontId="5" fillId="33" borderId="12" xfId="52" applyNumberFormat="1" applyFont="1" applyFill="1" applyBorder="1" applyAlignment="1" applyProtection="1">
      <alignment vertical="center" wrapText="1"/>
      <protection hidden="1"/>
    </xf>
    <xf numFmtId="178" fontId="5" fillId="33" borderId="16" xfId="52" applyNumberFormat="1" applyFont="1" applyFill="1" applyBorder="1" applyAlignment="1" applyProtection="1">
      <alignment vertical="center" wrapText="1"/>
      <protection hidden="1"/>
    </xf>
    <xf numFmtId="178" fontId="5" fillId="33" borderId="17" xfId="52" applyNumberFormat="1" applyFont="1" applyFill="1" applyBorder="1" applyAlignment="1" applyProtection="1">
      <alignment vertical="center" wrapText="1"/>
      <protection hidden="1"/>
    </xf>
    <xf numFmtId="178" fontId="5" fillId="33" borderId="14" xfId="52" applyNumberFormat="1" applyFont="1" applyFill="1" applyBorder="1" applyAlignment="1" applyProtection="1">
      <alignment wrapText="1"/>
      <protection hidden="1"/>
    </xf>
    <xf numFmtId="178" fontId="3" fillId="33" borderId="11" xfId="52" applyNumberFormat="1" applyFont="1" applyFill="1" applyBorder="1" applyAlignment="1" applyProtection="1">
      <alignment wrapText="1"/>
      <protection hidden="1"/>
    </xf>
    <xf numFmtId="178" fontId="5" fillId="33" borderId="13" xfId="52" applyNumberFormat="1" applyFont="1" applyFill="1" applyBorder="1" applyAlignment="1" applyProtection="1">
      <alignment horizontal="left" vertical="center" wrapText="1"/>
      <protection hidden="1"/>
    </xf>
    <xf numFmtId="178" fontId="5" fillId="33" borderId="36" xfId="52" applyNumberFormat="1" applyFont="1" applyFill="1" applyBorder="1" applyAlignment="1" applyProtection="1">
      <alignment horizontal="left" vertical="center" wrapText="1"/>
      <protection hidden="1"/>
    </xf>
    <xf numFmtId="178" fontId="5" fillId="33" borderId="37" xfId="52" applyNumberFormat="1" applyFont="1" applyFill="1" applyBorder="1" applyAlignment="1" applyProtection="1">
      <alignment horizontal="left" vertical="center" wrapText="1"/>
      <protection hidden="1"/>
    </xf>
    <xf numFmtId="178" fontId="5" fillId="33" borderId="27" xfId="52" applyNumberFormat="1" applyFont="1" applyFill="1" applyBorder="1" applyAlignment="1" applyProtection="1">
      <alignment horizontal="left" vertical="center" wrapText="1"/>
      <protection hidden="1"/>
    </xf>
    <xf numFmtId="178" fontId="5" fillId="33" borderId="31" xfId="52" applyNumberFormat="1" applyFont="1" applyFill="1" applyBorder="1" applyAlignment="1" applyProtection="1">
      <alignment horizontal="left" vertical="center" wrapText="1"/>
      <protection hidden="1"/>
    </xf>
    <xf numFmtId="178" fontId="5" fillId="33" borderId="38" xfId="52" applyNumberFormat="1" applyFont="1" applyFill="1" applyBorder="1" applyAlignment="1" applyProtection="1">
      <alignment horizontal="left" vertical="center" wrapText="1"/>
      <protection hidden="1"/>
    </xf>
    <xf numFmtId="0" fontId="3" fillId="33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/>
      <protection hidden="1"/>
    </xf>
    <xf numFmtId="0" fontId="5" fillId="33" borderId="41" xfId="52" applyNumberFormat="1" applyFont="1" applyFill="1" applyBorder="1" applyAlignment="1" applyProtection="1">
      <alignment horizontal="center" vertical="center"/>
      <protection hidden="1"/>
    </xf>
    <xf numFmtId="0" fontId="5" fillId="33" borderId="42" xfId="52" applyNumberFormat="1" applyFont="1" applyFill="1" applyBorder="1" applyAlignment="1" applyProtection="1">
      <alignment horizontal="center" vertical="center"/>
      <protection hidden="1"/>
    </xf>
    <xf numFmtId="178" fontId="3" fillId="33" borderId="43" xfId="52" applyNumberFormat="1" applyFont="1" applyFill="1" applyBorder="1" applyAlignment="1" applyProtection="1">
      <alignment wrapText="1"/>
      <protection hidden="1"/>
    </xf>
    <xf numFmtId="0" fontId="7" fillId="33" borderId="18" xfId="54" applyFont="1" applyFill="1" applyBorder="1" applyAlignment="1" applyProtection="1">
      <alignment horizontal="center" vertical="center" wrapText="1"/>
      <protection hidden="1"/>
    </xf>
    <xf numFmtId="0" fontId="6" fillId="33" borderId="0" xfId="52" applyNumberFormat="1" applyFont="1" applyFill="1" applyAlignment="1" applyProtection="1">
      <alignment horizontal="center" wrapText="1"/>
      <protection hidden="1"/>
    </xf>
    <xf numFmtId="0" fontId="3" fillId="33" borderId="25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44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45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42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46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7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8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4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5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153"/>
  <sheetViews>
    <sheetView showGridLines="0" tabSelected="1" view="pageBreakPreview" zoomScale="90" zoomScaleSheetLayoutView="90" zoomScalePageLayoutView="0" workbookViewId="0" topLeftCell="A143">
      <selection activeCell="A147" sqref="A147"/>
    </sheetView>
  </sheetViews>
  <sheetFormatPr defaultColWidth="9.140625" defaultRowHeight="15" outlineLevelRow="1"/>
  <cols>
    <col min="1" max="1" width="0.71875" style="7" customWidth="1"/>
    <col min="2" max="4" width="2.7109375" style="7" hidden="1" customWidth="1"/>
    <col min="5" max="5" width="17.421875" style="7" hidden="1" customWidth="1"/>
    <col min="6" max="6" width="18.140625" style="7" hidden="1" customWidth="1"/>
    <col min="7" max="7" width="49.28125" style="7" customWidth="1"/>
    <col min="8" max="8" width="4.8515625" style="7" customWidth="1"/>
    <col min="9" max="9" width="4.7109375" style="7" customWidth="1"/>
    <col min="10" max="10" width="4.421875" style="7" customWidth="1"/>
    <col min="11" max="11" width="14.28125" style="7" customWidth="1"/>
    <col min="12" max="12" width="15.7109375" style="7" hidden="1" customWidth="1"/>
    <col min="13" max="13" width="13.8515625" style="7" customWidth="1"/>
    <col min="14" max="14" width="52.57421875" style="73" hidden="1" customWidth="1"/>
    <col min="15" max="15" width="15.7109375" style="7" hidden="1" customWidth="1"/>
    <col min="16" max="16" width="13.8515625" style="7" customWidth="1"/>
    <col min="17" max="17" width="52.57421875" style="73" hidden="1" customWidth="1"/>
    <col min="18" max="18" width="15.7109375" style="7" customWidth="1"/>
    <col min="19" max="19" width="13.8515625" style="7" customWidth="1"/>
    <col min="20" max="20" width="54.7109375" style="73" customWidth="1"/>
    <col min="21" max="16384" width="9.140625" style="7" customWidth="1"/>
  </cols>
  <sheetData>
    <row r="1" spans="14:20" s="22" customFormat="1" ht="12.75">
      <c r="N1" s="23" t="s">
        <v>144</v>
      </c>
      <c r="Q1" s="23" t="s">
        <v>144</v>
      </c>
      <c r="T1" s="23" t="s">
        <v>298</v>
      </c>
    </row>
    <row r="2" spans="1:20" s="22" customFormat="1" ht="13.5" customHeight="1">
      <c r="A2" s="24"/>
      <c r="B2" s="24"/>
      <c r="C2" s="24"/>
      <c r="D2" s="24"/>
      <c r="E2" s="24"/>
      <c r="F2" s="24"/>
      <c r="G2" s="115"/>
      <c r="H2" s="115"/>
      <c r="I2" s="115"/>
      <c r="J2" s="115"/>
      <c r="K2" s="115"/>
      <c r="N2" s="25"/>
      <c r="Q2" s="25"/>
      <c r="T2" s="25" t="s">
        <v>299</v>
      </c>
    </row>
    <row r="3" spans="1:22" ht="37.5" customHeight="1" thickBot="1">
      <c r="A3" s="26"/>
      <c r="B3" s="26"/>
      <c r="C3" s="26"/>
      <c r="D3" s="27"/>
      <c r="E3" s="27"/>
      <c r="F3" s="27"/>
      <c r="G3" s="114" t="s">
        <v>169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28"/>
      <c r="V3" s="28"/>
    </row>
    <row r="4" spans="1:20" ht="37.5" customHeight="1" thickBot="1">
      <c r="A4" s="29"/>
      <c r="B4" s="116" t="s">
        <v>30</v>
      </c>
      <c r="C4" s="117" t="s">
        <v>30</v>
      </c>
      <c r="D4" s="119" t="s">
        <v>30</v>
      </c>
      <c r="E4" s="30" t="s">
        <v>30</v>
      </c>
      <c r="F4" s="30" t="s">
        <v>29</v>
      </c>
      <c r="G4" s="92" t="s">
        <v>145</v>
      </c>
      <c r="H4" s="94" t="s">
        <v>143</v>
      </c>
      <c r="I4" s="120"/>
      <c r="J4" s="121"/>
      <c r="K4" s="108" t="s">
        <v>250</v>
      </c>
      <c r="L4" s="92" t="s">
        <v>147</v>
      </c>
      <c r="M4" s="108" t="s">
        <v>255</v>
      </c>
      <c r="N4" s="92" t="s">
        <v>146</v>
      </c>
      <c r="O4" s="92" t="s">
        <v>147</v>
      </c>
      <c r="P4" s="108" t="s">
        <v>256</v>
      </c>
      <c r="Q4" s="92" t="s">
        <v>146</v>
      </c>
      <c r="R4" s="92" t="s">
        <v>147</v>
      </c>
      <c r="S4" s="94" t="s">
        <v>148</v>
      </c>
      <c r="T4" s="92" t="s">
        <v>146</v>
      </c>
    </row>
    <row r="5" spans="1:20" ht="12.75" customHeight="1" thickBot="1">
      <c r="A5" s="29"/>
      <c r="B5" s="116"/>
      <c r="C5" s="118"/>
      <c r="D5" s="119"/>
      <c r="E5" s="30"/>
      <c r="F5" s="30"/>
      <c r="G5" s="93"/>
      <c r="H5" s="95"/>
      <c r="I5" s="122"/>
      <c r="J5" s="123"/>
      <c r="K5" s="109"/>
      <c r="L5" s="93"/>
      <c r="M5" s="109"/>
      <c r="N5" s="93"/>
      <c r="O5" s="93"/>
      <c r="P5" s="109"/>
      <c r="Q5" s="93"/>
      <c r="R5" s="93"/>
      <c r="S5" s="95"/>
      <c r="T5" s="93"/>
    </row>
    <row r="6" spans="1:20" ht="36.75" customHeight="1" thickBot="1">
      <c r="A6" s="29"/>
      <c r="B6" s="116"/>
      <c r="C6" s="118"/>
      <c r="D6" s="119"/>
      <c r="E6" s="30"/>
      <c r="F6" s="30"/>
      <c r="G6" s="96"/>
      <c r="H6" s="124"/>
      <c r="I6" s="125"/>
      <c r="J6" s="126"/>
      <c r="K6" s="109"/>
      <c r="L6" s="93"/>
      <c r="M6" s="109"/>
      <c r="N6" s="96"/>
      <c r="O6" s="93"/>
      <c r="P6" s="109"/>
      <c r="Q6" s="96"/>
      <c r="R6" s="93"/>
      <c r="S6" s="95"/>
      <c r="T6" s="96"/>
    </row>
    <row r="7" spans="1:20" ht="16.5" customHeight="1" thickBot="1">
      <c r="A7" s="26"/>
      <c r="B7" s="31" t="s">
        <v>14</v>
      </c>
      <c r="C7" s="32"/>
      <c r="D7" s="33"/>
      <c r="E7" s="34" t="s">
        <v>13</v>
      </c>
      <c r="F7" s="34" t="s">
        <v>11</v>
      </c>
      <c r="G7" s="34">
        <v>1</v>
      </c>
      <c r="H7" s="110">
        <v>2</v>
      </c>
      <c r="I7" s="111"/>
      <c r="J7" s="112"/>
      <c r="K7" s="35">
        <v>3</v>
      </c>
      <c r="L7" s="36">
        <v>4</v>
      </c>
      <c r="M7" s="37">
        <v>4</v>
      </c>
      <c r="N7" s="38">
        <v>6</v>
      </c>
      <c r="O7" s="36">
        <v>5</v>
      </c>
      <c r="P7" s="37">
        <v>5</v>
      </c>
      <c r="Q7" s="38">
        <v>7</v>
      </c>
      <c r="R7" s="36">
        <v>6</v>
      </c>
      <c r="S7" s="37">
        <v>7</v>
      </c>
      <c r="T7" s="38">
        <v>8</v>
      </c>
    </row>
    <row r="8" spans="1:20" ht="32.25" customHeight="1">
      <c r="A8" s="1"/>
      <c r="B8" s="113" t="s">
        <v>31</v>
      </c>
      <c r="C8" s="113"/>
      <c r="D8" s="113"/>
      <c r="E8" s="113"/>
      <c r="F8" s="113"/>
      <c r="G8" s="113"/>
      <c r="H8" s="39" t="s">
        <v>10</v>
      </c>
      <c r="I8" s="39" t="s">
        <v>3</v>
      </c>
      <c r="J8" s="39" t="s">
        <v>3</v>
      </c>
      <c r="K8" s="40">
        <f>K9+K11+K13</f>
        <v>31103.5</v>
      </c>
      <c r="L8" s="40">
        <f>L9+L11+L13</f>
        <v>2435</v>
      </c>
      <c r="M8" s="40">
        <f>M9+M11+M13</f>
        <v>33538.5</v>
      </c>
      <c r="N8" s="41"/>
      <c r="O8" s="42">
        <f>O9+O11+O13</f>
        <v>309.7</v>
      </c>
      <c r="P8" s="43">
        <f>P9+P11+P13</f>
        <v>33848.200000000004</v>
      </c>
      <c r="Q8" s="41"/>
      <c r="R8" s="42">
        <f>R9+R11+R13</f>
        <v>652.9999999999999</v>
      </c>
      <c r="S8" s="43">
        <f>S9+S11+S13</f>
        <v>34501.200000000004</v>
      </c>
      <c r="T8" s="41"/>
    </row>
    <row r="9" spans="1:20" ht="35.25" customHeight="1" collapsed="1">
      <c r="A9" s="1"/>
      <c r="B9" s="44"/>
      <c r="C9" s="100" t="s">
        <v>32</v>
      </c>
      <c r="D9" s="100"/>
      <c r="E9" s="100"/>
      <c r="F9" s="100"/>
      <c r="G9" s="100"/>
      <c r="H9" s="4" t="s">
        <v>10</v>
      </c>
      <c r="I9" s="4" t="s">
        <v>14</v>
      </c>
      <c r="J9" s="4" t="s">
        <v>3</v>
      </c>
      <c r="K9" s="5">
        <f>K10</f>
        <v>2000</v>
      </c>
      <c r="L9" s="5">
        <f>L10</f>
        <v>300</v>
      </c>
      <c r="M9" s="5">
        <f>M10</f>
        <v>2300</v>
      </c>
      <c r="N9" s="11"/>
      <c r="O9" s="13">
        <f>O10</f>
        <v>-150</v>
      </c>
      <c r="P9" s="12">
        <f>P10</f>
        <v>2150</v>
      </c>
      <c r="Q9" s="11"/>
      <c r="R9" s="13">
        <f>R10</f>
        <v>0</v>
      </c>
      <c r="S9" s="12">
        <f>S10</f>
        <v>2150</v>
      </c>
      <c r="T9" s="11"/>
    </row>
    <row r="10" spans="1:20" ht="35.25" customHeight="1" hidden="1" outlineLevel="1">
      <c r="A10" s="1"/>
      <c r="B10" s="2"/>
      <c r="C10" s="3"/>
      <c r="D10" s="97" t="s">
        <v>33</v>
      </c>
      <c r="E10" s="98"/>
      <c r="F10" s="98"/>
      <c r="G10" s="99"/>
      <c r="H10" s="4" t="s">
        <v>10</v>
      </c>
      <c r="I10" s="4" t="s">
        <v>14</v>
      </c>
      <c r="J10" s="4" t="s">
        <v>10</v>
      </c>
      <c r="K10" s="5">
        <v>2000</v>
      </c>
      <c r="L10" s="5">
        <v>300</v>
      </c>
      <c r="M10" s="5">
        <f>K10+L10</f>
        <v>2300</v>
      </c>
      <c r="N10" s="11" t="s">
        <v>175</v>
      </c>
      <c r="O10" s="13">
        <v>-150</v>
      </c>
      <c r="P10" s="12">
        <f>M10+O10</f>
        <v>2150</v>
      </c>
      <c r="Q10" s="45" t="s">
        <v>214</v>
      </c>
      <c r="R10" s="13"/>
      <c r="S10" s="12">
        <f>P10+R10</f>
        <v>2150</v>
      </c>
      <c r="T10" s="45"/>
    </row>
    <row r="11" spans="1:20" ht="39" customHeight="1" collapsed="1">
      <c r="A11" s="1"/>
      <c r="B11" s="44"/>
      <c r="C11" s="100" t="s">
        <v>34</v>
      </c>
      <c r="D11" s="100"/>
      <c r="E11" s="100"/>
      <c r="F11" s="100"/>
      <c r="G11" s="100"/>
      <c r="H11" s="4" t="s">
        <v>10</v>
      </c>
      <c r="I11" s="4" t="s">
        <v>13</v>
      </c>
      <c r="J11" s="4" t="s">
        <v>3</v>
      </c>
      <c r="K11" s="5">
        <f>K12</f>
        <v>1500</v>
      </c>
      <c r="L11" s="5">
        <f>L12</f>
        <v>-300</v>
      </c>
      <c r="M11" s="5">
        <f>M12</f>
        <v>1200</v>
      </c>
      <c r="N11" s="11"/>
      <c r="O11" s="13">
        <f>O12</f>
        <v>0</v>
      </c>
      <c r="P11" s="12">
        <f>P12</f>
        <v>1200</v>
      </c>
      <c r="Q11" s="11"/>
      <c r="R11" s="13">
        <f>R12</f>
        <v>-186.6</v>
      </c>
      <c r="S11" s="12">
        <f>S12</f>
        <v>1013.4</v>
      </c>
      <c r="T11" s="11" t="s">
        <v>273</v>
      </c>
    </row>
    <row r="12" spans="1:20" ht="45" customHeight="1" hidden="1" outlineLevel="1">
      <c r="A12" s="1"/>
      <c r="B12" s="2"/>
      <c r="C12" s="3"/>
      <c r="D12" s="97" t="s">
        <v>35</v>
      </c>
      <c r="E12" s="98"/>
      <c r="F12" s="98"/>
      <c r="G12" s="99"/>
      <c r="H12" s="4" t="s">
        <v>10</v>
      </c>
      <c r="I12" s="4" t="s">
        <v>13</v>
      </c>
      <c r="J12" s="4" t="s">
        <v>10</v>
      </c>
      <c r="K12" s="5">
        <v>1500</v>
      </c>
      <c r="L12" s="5">
        <v>-300</v>
      </c>
      <c r="M12" s="5">
        <f>K12+L12</f>
        <v>1200</v>
      </c>
      <c r="N12" s="11" t="s">
        <v>176</v>
      </c>
      <c r="O12" s="13"/>
      <c r="P12" s="12">
        <f>M12+O12</f>
        <v>1200</v>
      </c>
      <c r="Q12" s="11"/>
      <c r="R12" s="13">
        <v>-186.6</v>
      </c>
      <c r="S12" s="12">
        <f>P12+R12</f>
        <v>1013.4</v>
      </c>
      <c r="T12" s="11" t="s">
        <v>273</v>
      </c>
    </row>
    <row r="13" spans="1:20" ht="93.75" customHeight="1" collapsed="1">
      <c r="A13" s="1"/>
      <c r="B13" s="44"/>
      <c r="C13" s="100" t="s">
        <v>36</v>
      </c>
      <c r="D13" s="100"/>
      <c r="E13" s="100"/>
      <c r="F13" s="100"/>
      <c r="G13" s="100"/>
      <c r="H13" s="4" t="s">
        <v>10</v>
      </c>
      <c r="I13" s="4" t="s">
        <v>23</v>
      </c>
      <c r="J13" s="4" t="s">
        <v>3</v>
      </c>
      <c r="K13" s="5">
        <f>K14+K15</f>
        <v>27603.5</v>
      </c>
      <c r="L13" s="5">
        <f>L14+L15</f>
        <v>2435</v>
      </c>
      <c r="M13" s="5">
        <f>M14+M15</f>
        <v>30038.5</v>
      </c>
      <c r="N13" s="11"/>
      <c r="O13" s="13">
        <f>O14+O15</f>
        <v>459.7</v>
      </c>
      <c r="P13" s="12">
        <f>P14+P15</f>
        <v>30498.200000000004</v>
      </c>
      <c r="Q13" s="11"/>
      <c r="R13" s="13">
        <f>R14+R15</f>
        <v>839.5999999999999</v>
      </c>
      <c r="S13" s="12">
        <f>S14+S15</f>
        <v>31337.800000000003</v>
      </c>
      <c r="T13" s="11" t="s">
        <v>289</v>
      </c>
    </row>
    <row r="14" spans="1:20" ht="78.75" customHeight="1" hidden="1" outlineLevel="1">
      <c r="A14" s="1"/>
      <c r="B14" s="2"/>
      <c r="C14" s="3"/>
      <c r="D14" s="97" t="s">
        <v>37</v>
      </c>
      <c r="E14" s="98"/>
      <c r="F14" s="98"/>
      <c r="G14" s="99"/>
      <c r="H14" s="4" t="s">
        <v>10</v>
      </c>
      <c r="I14" s="4" t="s">
        <v>23</v>
      </c>
      <c r="J14" s="4" t="s">
        <v>10</v>
      </c>
      <c r="K14" s="5">
        <v>25603.5</v>
      </c>
      <c r="L14" s="5">
        <f>-81.1+99</f>
        <v>17.900000000000006</v>
      </c>
      <c r="M14" s="6">
        <f>K14+L14</f>
        <v>25621.4</v>
      </c>
      <c r="N14" s="11" t="s">
        <v>185</v>
      </c>
      <c r="O14" s="13">
        <f>309.7+150+21.2</f>
        <v>480.9</v>
      </c>
      <c r="P14" s="12">
        <f>M14+O14</f>
        <v>26102.300000000003</v>
      </c>
      <c r="Q14" s="11" t="s">
        <v>249</v>
      </c>
      <c r="R14" s="13">
        <v>1323.6</v>
      </c>
      <c r="S14" s="12">
        <f>P14+R14</f>
        <v>27425.9</v>
      </c>
      <c r="T14" s="11" t="s">
        <v>275</v>
      </c>
    </row>
    <row r="15" spans="1:20" ht="82.5" customHeight="1" hidden="1" outlineLevel="1">
      <c r="A15" s="1"/>
      <c r="B15" s="2"/>
      <c r="C15" s="3"/>
      <c r="D15" s="97" t="s">
        <v>38</v>
      </c>
      <c r="E15" s="98"/>
      <c r="F15" s="98"/>
      <c r="G15" s="99"/>
      <c r="H15" s="4" t="s">
        <v>10</v>
      </c>
      <c r="I15" s="4" t="s">
        <v>23</v>
      </c>
      <c r="J15" s="4" t="s">
        <v>9</v>
      </c>
      <c r="K15" s="5">
        <v>2000</v>
      </c>
      <c r="L15" s="5">
        <f>-17.9+2435</f>
        <v>2417.1</v>
      </c>
      <c r="M15" s="6">
        <f>K15+L15</f>
        <v>4417.1</v>
      </c>
      <c r="N15" s="11" t="s">
        <v>222</v>
      </c>
      <c r="O15" s="13">
        <v>-21.2</v>
      </c>
      <c r="P15" s="12">
        <f>M15+O15</f>
        <v>4395.900000000001</v>
      </c>
      <c r="Q15" s="11" t="s">
        <v>248</v>
      </c>
      <c r="R15" s="13">
        <v>-484</v>
      </c>
      <c r="S15" s="12">
        <f>P15+R15</f>
        <v>3911.9000000000005</v>
      </c>
      <c r="T15" s="11" t="s">
        <v>274</v>
      </c>
    </row>
    <row r="16" spans="1:20" ht="48.75" customHeight="1" collapsed="1">
      <c r="A16" s="1"/>
      <c r="B16" s="101" t="s">
        <v>39</v>
      </c>
      <c r="C16" s="101"/>
      <c r="D16" s="101"/>
      <c r="E16" s="101"/>
      <c r="F16" s="101"/>
      <c r="G16" s="101"/>
      <c r="H16" s="47" t="s">
        <v>9</v>
      </c>
      <c r="I16" s="47" t="s">
        <v>3</v>
      </c>
      <c r="J16" s="47" t="s">
        <v>3</v>
      </c>
      <c r="K16" s="48">
        <f>K17+K18+K19+K20</f>
        <v>4236.1</v>
      </c>
      <c r="L16" s="48">
        <f>L17+L18+L19+L20</f>
        <v>0</v>
      </c>
      <c r="M16" s="48">
        <f>M17+M18+M19+M20</f>
        <v>4236.1</v>
      </c>
      <c r="N16" s="46"/>
      <c r="O16" s="49">
        <f>O17+O18+O19+O20</f>
        <v>0</v>
      </c>
      <c r="P16" s="50">
        <f>P17+P18+P19+P20</f>
        <v>4236.1</v>
      </c>
      <c r="Q16" s="46"/>
      <c r="R16" s="49">
        <f>R17+R18+R19+R20</f>
        <v>0</v>
      </c>
      <c r="S16" s="50">
        <f>S17+S18+S19+S20</f>
        <v>4236.1</v>
      </c>
      <c r="T16" s="11"/>
    </row>
    <row r="17" spans="1:20" ht="22.5" customHeight="1" hidden="1" outlineLevel="1">
      <c r="A17" s="1"/>
      <c r="B17" s="2"/>
      <c r="C17" s="3"/>
      <c r="D17" s="100" t="s">
        <v>40</v>
      </c>
      <c r="E17" s="100"/>
      <c r="F17" s="100"/>
      <c r="G17" s="100"/>
      <c r="H17" s="4" t="s">
        <v>9</v>
      </c>
      <c r="I17" s="4" t="s">
        <v>1</v>
      </c>
      <c r="J17" s="4" t="s">
        <v>10</v>
      </c>
      <c r="K17" s="5">
        <v>3303.3</v>
      </c>
      <c r="L17" s="5"/>
      <c r="M17" s="6">
        <f>SUM(K17+L17)</f>
        <v>3303.3</v>
      </c>
      <c r="N17" s="11"/>
      <c r="O17" s="13"/>
      <c r="P17" s="12">
        <f>SUM(M17+O17)</f>
        <v>3303.3</v>
      </c>
      <c r="Q17" s="11"/>
      <c r="R17" s="13"/>
      <c r="S17" s="12">
        <f>SUM(P17+R17)</f>
        <v>3303.3</v>
      </c>
      <c r="T17" s="11"/>
    </row>
    <row r="18" spans="1:20" ht="33.75" customHeight="1" hidden="1" outlineLevel="1">
      <c r="A18" s="1"/>
      <c r="B18" s="2"/>
      <c r="C18" s="3"/>
      <c r="D18" s="100" t="s">
        <v>41</v>
      </c>
      <c r="E18" s="100"/>
      <c r="F18" s="100"/>
      <c r="G18" s="100"/>
      <c r="H18" s="4" t="s">
        <v>9</v>
      </c>
      <c r="I18" s="4" t="s">
        <v>1</v>
      </c>
      <c r="J18" s="4" t="s">
        <v>9</v>
      </c>
      <c r="K18" s="5">
        <v>2</v>
      </c>
      <c r="L18" s="5"/>
      <c r="M18" s="6">
        <f>SUM(K18+L18)</f>
        <v>2</v>
      </c>
      <c r="N18" s="11"/>
      <c r="O18" s="13"/>
      <c r="P18" s="12">
        <f>SUM(M18+O18)</f>
        <v>2</v>
      </c>
      <c r="Q18" s="11"/>
      <c r="R18" s="13"/>
      <c r="S18" s="12">
        <f>SUM(P18+R18)</f>
        <v>2</v>
      </c>
      <c r="T18" s="11"/>
    </row>
    <row r="19" spans="1:20" ht="24" customHeight="1" hidden="1" outlineLevel="1">
      <c r="A19" s="1"/>
      <c r="B19" s="2"/>
      <c r="C19" s="3"/>
      <c r="D19" s="100" t="s">
        <v>42</v>
      </c>
      <c r="E19" s="100"/>
      <c r="F19" s="100"/>
      <c r="G19" s="100"/>
      <c r="H19" s="4" t="s">
        <v>9</v>
      </c>
      <c r="I19" s="4" t="s">
        <v>1</v>
      </c>
      <c r="J19" s="4" t="s">
        <v>8</v>
      </c>
      <c r="K19" s="5">
        <v>895.8</v>
      </c>
      <c r="L19" s="5"/>
      <c r="M19" s="6">
        <f>SUM(K19+L19)</f>
        <v>895.8</v>
      </c>
      <c r="N19" s="11"/>
      <c r="O19" s="13"/>
      <c r="P19" s="12">
        <f>SUM(M19+O19)</f>
        <v>895.8</v>
      </c>
      <c r="Q19" s="51"/>
      <c r="R19" s="13"/>
      <c r="S19" s="12">
        <f>SUM(P19+R19)</f>
        <v>895.8</v>
      </c>
      <c r="T19" s="51"/>
    </row>
    <row r="20" spans="1:20" ht="24.75" customHeight="1" hidden="1" outlineLevel="1">
      <c r="A20" s="1"/>
      <c r="B20" s="2"/>
      <c r="C20" s="3"/>
      <c r="D20" s="100" t="s">
        <v>43</v>
      </c>
      <c r="E20" s="100"/>
      <c r="F20" s="100"/>
      <c r="G20" s="100"/>
      <c r="H20" s="4" t="s">
        <v>9</v>
      </c>
      <c r="I20" s="4" t="s">
        <v>1</v>
      </c>
      <c r="J20" s="4" t="s">
        <v>7</v>
      </c>
      <c r="K20" s="5">
        <v>35</v>
      </c>
      <c r="L20" s="5"/>
      <c r="M20" s="6">
        <f>SUM(K20+L20)</f>
        <v>35</v>
      </c>
      <c r="N20" s="11"/>
      <c r="O20" s="13"/>
      <c r="P20" s="12">
        <f>SUM(M20+O20)</f>
        <v>35</v>
      </c>
      <c r="Q20" s="11"/>
      <c r="R20" s="13"/>
      <c r="S20" s="12">
        <f>SUM(P20+R20)</f>
        <v>35</v>
      </c>
      <c r="T20" s="11"/>
    </row>
    <row r="21" spans="1:20" ht="39" customHeight="1" collapsed="1">
      <c r="A21" s="1"/>
      <c r="B21" s="101" t="s">
        <v>45</v>
      </c>
      <c r="C21" s="101"/>
      <c r="D21" s="101"/>
      <c r="E21" s="101"/>
      <c r="F21" s="101"/>
      <c r="G21" s="101"/>
      <c r="H21" s="47" t="s">
        <v>8</v>
      </c>
      <c r="I21" s="47" t="s">
        <v>3</v>
      </c>
      <c r="J21" s="47" t="s">
        <v>3</v>
      </c>
      <c r="K21" s="48">
        <v>1100</v>
      </c>
      <c r="L21" s="48">
        <f>SUM(L22)</f>
        <v>5505</v>
      </c>
      <c r="M21" s="48">
        <f>SUM(M22)</f>
        <v>6605</v>
      </c>
      <c r="N21" s="46"/>
      <c r="O21" s="49">
        <f>SUM(O22)</f>
        <v>0</v>
      </c>
      <c r="P21" s="50">
        <f>SUM(P22)</f>
        <v>6605</v>
      </c>
      <c r="Q21" s="46"/>
      <c r="R21" s="49">
        <f>SUM(R22)</f>
        <v>0</v>
      </c>
      <c r="S21" s="50">
        <f>SUM(S22)</f>
        <v>6605</v>
      </c>
      <c r="T21" s="11"/>
    </row>
    <row r="22" spans="1:20" ht="39.75" customHeight="1" hidden="1" outlineLevel="1">
      <c r="A22" s="1"/>
      <c r="B22" s="2"/>
      <c r="C22" s="3"/>
      <c r="D22" s="97" t="s">
        <v>44</v>
      </c>
      <c r="E22" s="98"/>
      <c r="F22" s="98"/>
      <c r="G22" s="99"/>
      <c r="H22" s="4" t="s">
        <v>8</v>
      </c>
      <c r="I22" s="4" t="s">
        <v>1</v>
      </c>
      <c r="J22" s="4" t="s">
        <v>10</v>
      </c>
      <c r="K22" s="5">
        <v>1100</v>
      </c>
      <c r="L22" s="5">
        <v>5505</v>
      </c>
      <c r="M22" s="6">
        <f>SUM(K22+L22)</f>
        <v>6605</v>
      </c>
      <c r="N22" s="11" t="s">
        <v>177</v>
      </c>
      <c r="O22" s="13"/>
      <c r="P22" s="12">
        <f>SUM(M22+O22)</f>
        <v>6605</v>
      </c>
      <c r="Q22" s="11"/>
      <c r="R22" s="13"/>
      <c r="S22" s="12">
        <f>SUM(P22+R22)</f>
        <v>6605</v>
      </c>
      <c r="T22" s="11"/>
    </row>
    <row r="23" spans="1:20" ht="39.75" customHeight="1" collapsed="1">
      <c r="A23" s="1"/>
      <c r="B23" s="101" t="s">
        <v>46</v>
      </c>
      <c r="C23" s="101"/>
      <c r="D23" s="101"/>
      <c r="E23" s="101"/>
      <c r="F23" s="101"/>
      <c r="G23" s="101"/>
      <c r="H23" s="47" t="s">
        <v>7</v>
      </c>
      <c r="I23" s="47" t="s">
        <v>3</v>
      </c>
      <c r="J23" s="47" t="s">
        <v>3</v>
      </c>
      <c r="K23" s="48">
        <v>200</v>
      </c>
      <c r="L23" s="48">
        <f>SUM(L24)</f>
        <v>0</v>
      </c>
      <c r="M23" s="48">
        <f>SUM(M24)</f>
        <v>200</v>
      </c>
      <c r="N23" s="46"/>
      <c r="O23" s="49">
        <f>SUM(O24)</f>
        <v>0</v>
      </c>
      <c r="P23" s="50">
        <f>SUM(P24)</f>
        <v>200</v>
      </c>
      <c r="Q23" s="46"/>
      <c r="R23" s="49">
        <f>SUM(R24)</f>
        <v>0</v>
      </c>
      <c r="S23" s="50">
        <f>SUM(S24)</f>
        <v>200</v>
      </c>
      <c r="T23" s="11"/>
    </row>
    <row r="24" spans="1:20" ht="22.5" customHeight="1" hidden="1" outlineLevel="1">
      <c r="A24" s="1"/>
      <c r="B24" s="2"/>
      <c r="C24" s="3"/>
      <c r="D24" s="100" t="s">
        <v>47</v>
      </c>
      <c r="E24" s="100"/>
      <c r="F24" s="100"/>
      <c r="G24" s="100"/>
      <c r="H24" s="4" t="s">
        <v>7</v>
      </c>
      <c r="I24" s="4" t="s">
        <v>1</v>
      </c>
      <c r="J24" s="4" t="s">
        <v>10</v>
      </c>
      <c r="K24" s="5">
        <v>200</v>
      </c>
      <c r="L24" s="5"/>
      <c r="M24" s="6">
        <f>SUM(K24+L24)</f>
        <v>200</v>
      </c>
      <c r="N24" s="11"/>
      <c r="O24" s="13"/>
      <c r="P24" s="12">
        <f>SUM(M24+O24)</f>
        <v>200</v>
      </c>
      <c r="Q24" s="11"/>
      <c r="R24" s="13"/>
      <c r="S24" s="12">
        <f>SUM(P24+R24)</f>
        <v>200</v>
      </c>
      <c r="T24" s="11"/>
    </row>
    <row r="25" spans="1:20" ht="42.75" customHeight="1">
      <c r="A25" s="1"/>
      <c r="B25" s="101" t="s">
        <v>49</v>
      </c>
      <c r="C25" s="101"/>
      <c r="D25" s="101"/>
      <c r="E25" s="101"/>
      <c r="F25" s="101"/>
      <c r="G25" s="101"/>
      <c r="H25" s="47" t="s">
        <v>6</v>
      </c>
      <c r="I25" s="47" t="s">
        <v>3</v>
      </c>
      <c r="J25" s="47" t="s">
        <v>3</v>
      </c>
      <c r="K25" s="48">
        <f>K26+K29</f>
        <v>67495.7</v>
      </c>
      <c r="L25" s="48">
        <f>SUM(L26+L29)</f>
        <v>1194.9</v>
      </c>
      <c r="M25" s="48">
        <f>SUM(M26+M29)</f>
        <v>68690.6</v>
      </c>
      <c r="N25" s="46"/>
      <c r="O25" s="49">
        <f>SUM(O26+O29)</f>
        <v>-4177</v>
      </c>
      <c r="P25" s="50">
        <f>SUM(P26+P29)</f>
        <v>64513.600000000006</v>
      </c>
      <c r="Q25" s="46"/>
      <c r="R25" s="49">
        <f>SUM(R26+R29)</f>
        <v>1556.7000000000003</v>
      </c>
      <c r="S25" s="50">
        <f>SUM(S26+S29)</f>
        <v>66070.3</v>
      </c>
      <c r="T25" s="11"/>
    </row>
    <row r="26" spans="1:20" ht="187.5" customHeight="1" collapsed="1">
      <c r="A26" s="1"/>
      <c r="B26" s="44"/>
      <c r="C26" s="100" t="s">
        <v>48</v>
      </c>
      <c r="D26" s="100"/>
      <c r="E26" s="100"/>
      <c r="F26" s="100"/>
      <c r="G26" s="100"/>
      <c r="H26" s="4" t="s">
        <v>6</v>
      </c>
      <c r="I26" s="4" t="s">
        <v>14</v>
      </c>
      <c r="J26" s="4" t="s">
        <v>3</v>
      </c>
      <c r="K26" s="5">
        <v>63318.7</v>
      </c>
      <c r="L26" s="5">
        <f>SUM(L27+L28)</f>
        <v>1194.9</v>
      </c>
      <c r="M26" s="5">
        <f>SUM(M27+M28)</f>
        <v>64513.600000000006</v>
      </c>
      <c r="N26" s="11"/>
      <c r="O26" s="13">
        <f>SUM(O27+O28)</f>
        <v>0</v>
      </c>
      <c r="P26" s="12">
        <f>SUM(P27+P28)</f>
        <v>64513.600000000006</v>
      </c>
      <c r="Q26" s="11"/>
      <c r="R26" s="13">
        <f>SUM(R27+R28)</f>
        <v>1556.7000000000003</v>
      </c>
      <c r="S26" s="12">
        <f>SUM(S27+S28)</f>
        <v>66070.3</v>
      </c>
      <c r="T26" s="11" t="s">
        <v>309</v>
      </c>
    </row>
    <row r="27" spans="1:20" ht="168" customHeight="1" hidden="1" outlineLevel="1">
      <c r="A27" s="1"/>
      <c r="B27" s="2"/>
      <c r="C27" s="3"/>
      <c r="D27" s="97" t="s">
        <v>50</v>
      </c>
      <c r="E27" s="98"/>
      <c r="F27" s="98"/>
      <c r="G27" s="99"/>
      <c r="H27" s="4" t="s">
        <v>6</v>
      </c>
      <c r="I27" s="4" t="s">
        <v>14</v>
      </c>
      <c r="J27" s="4" t="s">
        <v>10</v>
      </c>
      <c r="K27" s="5">
        <v>28327.2</v>
      </c>
      <c r="L27" s="5">
        <v>1194.9</v>
      </c>
      <c r="M27" s="5">
        <f>SUM(K27+L27)</f>
        <v>29522.100000000002</v>
      </c>
      <c r="N27" s="11" t="s">
        <v>184</v>
      </c>
      <c r="O27" s="13"/>
      <c r="P27" s="12">
        <f>SUM(M27+O27)</f>
        <v>29522.100000000002</v>
      </c>
      <c r="Q27" s="11"/>
      <c r="R27" s="13">
        <f>25.2+1501.2-318.3</f>
        <v>1208.1000000000001</v>
      </c>
      <c r="S27" s="12">
        <f>SUM(P27+R27)</f>
        <v>30730.2</v>
      </c>
      <c r="T27" s="11" t="s">
        <v>306</v>
      </c>
    </row>
    <row r="28" spans="1:20" ht="41.25" customHeight="1" hidden="1" outlineLevel="1">
      <c r="A28" s="1"/>
      <c r="B28" s="2"/>
      <c r="C28" s="3"/>
      <c r="D28" s="100" t="s">
        <v>51</v>
      </c>
      <c r="E28" s="100"/>
      <c r="F28" s="100"/>
      <c r="G28" s="100"/>
      <c r="H28" s="4" t="s">
        <v>6</v>
      </c>
      <c r="I28" s="4" t="s">
        <v>14</v>
      </c>
      <c r="J28" s="4" t="s">
        <v>9</v>
      </c>
      <c r="K28" s="5">
        <v>34991.5</v>
      </c>
      <c r="L28" s="5"/>
      <c r="M28" s="5">
        <f>SUM(K28+L28)</f>
        <v>34991.5</v>
      </c>
      <c r="N28" s="11"/>
      <c r="O28" s="13"/>
      <c r="P28" s="12">
        <f>SUM(M28+O28)</f>
        <v>34991.5</v>
      </c>
      <c r="Q28" s="11"/>
      <c r="R28" s="13">
        <v>348.6</v>
      </c>
      <c r="S28" s="12">
        <f>SUM(P28+R28)</f>
        <v>35340.1</v>
      </c>
      <c r="T28" s="11" t="s">
        <v>276</v>
      </c>
    </row>
    <row r="29" spans="1:20" ht="12.75" customHeight="1" collapsed="1">
      <c r="A29" s="1"/>
      <c r="B29" s="44"/>
      <c r="C29" s="100" t="s">
        <v>52</v>
      </c>
      <c r="D29" s="100"/>
      <c r="E29" s="100"/>
      <c r="F29" s="100"/>
      <c r="G29" s="100"/>
      <c r="H29" s="4" t="s">
        <v>6</v>
      </c>
      <c r="I29" s="4" t="s">
        <v>13</v>
      </c>
      <c r="J29" s="4" t="s">
        <v>3</v>
      </c>
      <c r="K29" s="5">
        <f>K30</f>
        <v>4177</v>
      </c>
      <c r="L29" s="5">
        <f>SUM(L30)</f>
        <v>0</v>
      </c>
      <c r="M29" s="6">
        <f>M30</f>
        <v>4177</v>
      </c>
      <c r="N29" s="11"/>
      <c r="O29" s="13">
        <f>SUM(O30)</f>
        <v>-4177</v>
      </c>
      <c r="P29" s="12">
        <f>SUM(P30)</f>
        <v>0</v>
      </c>
      <c r="Q29" s="11"/>
      <c r="R29" s="13">
        <f>SUM(R30)</f>
        <v>0</v>
      </c>
      <c r="S29" s="12">
        <f>SUM(S30)</f>
        <v>0</v>
      </c>
      <c r="T29" s="11"/>
    </row>
    <row r="30" spans="1:20" ht="27" customHeight="1" hidden="1" outlineLevel="1">
      <c r="A30" s="1"/>
      <c r="B30" s="2"/>
      <c r="C30" s="3"/>
      <c r="D30" s="100" t="s">
        <v>53</v>
      </c>
      <c r="E30" s="100"/>
      <c r="F30" s="100"/>
      <c r="G30" s="100"/>
      <c r="H30" s="4" t="s">
        <v>6</v>
      </c>
      <c r="I30" s="4" t="s">
        <v>13</v>
      </c>
      <c r="J30" s="4" t="s">
        <v>10</v>
      </c>
      <c r="K30" s="5">
        <v>4177</v>
      </c>
      <c r="L30" s="5"/>
      <c r="M30" s="6">
        <f>SUM(K30+L30)</f>
        <v>4177</v>
      </c>
      <c r="N30" s="11"/>
      <c r="O30" s="13">
        <v>-4177</v>
      </c>
      <c r="P30" s="12">
        <f>SUM(M30+O30)</f>
        <v>0</v>
      </c>
      <c r="Q30" s="11" t="s">
        <v>216</v>
      </c>
      <c r="R30" s="13"/>
      <c r="S30" s="12">
        <f>SUM(P30+R30)</f>
        <v>0</v>
      </c>
      <c r="T30" s="11"/>
    </row>
    <row r="31" spans="1:20" ht="22.5" customHeight="1">
      <c r="A31" s="1"/>
      <c r="B31" s="101" t="s">
        <v>54</v>
      </c>
      <c r="C31" s="101"/>
      <c r="D31" s="101"/>
      <c r="E31" s="101"/>
      <c r="F31" s="101"/>
      <c r="G31" s="101"/>
      <c r="H31" s="47" t="s">
        <v>5</v>
      </c>
      <c r="I31" s="47" t="s">
        <v>3</v>
      </c>
      <c r="J31" s="47" t="s">
        <v>3</v>
      </c>
      <c r="K31" s="48">
        <f>K32+K37+K40</f>
        <v>319939</v>
      </c>
      <c r="L31" s="48">
        <f>SUM(L32+L37+L40)</f>
        <v>9917.300000000001</v>
      </c>
      <c r="M31" s="48">
        <f>SUM(M32+M37+M40)</f>
        <v>329856.29999999993</v>
      </c>
      <c r="N31" s="46"/>
      <c r="O31" s="49">
        <f>SUM(O32+O37+O40)</f>
        <v>576.3000000000002</v>
      </c>
      <c r="P31" s="49">
        <f>SUM(P32+P37+P40)</f>
        <v>330432.6</v>
      </c>
      <c r="Q31" s="46"/>
      <c r="R31" s="49">
        <f>SUM(R32+R37+R40)</f>
        <v>3628.7999999999993</v>
      </c>
      <c r="S31" s="49">
        <f>SUM(S32+S37+S40)</f>
        <v>334061.39999999997</v>
      </c>
      <c r="T31" s="11"/>
    </row>
    <row r="32" spans="1:20" ht="148.5" customHeight="1" collapsed="1">
      <c r="A32" s="1"/>
      <c r="B32" s="44"/>
      <c r="C32" s="100" t="s">
        <v>55</v>
      </c>
      <c r="D32" s="100"/>
      <c r="E32" s="100"/>
      <c r="F32" s="100"/>
      <c r="G32" s="100"/>
      <c r="H32" s="4" t="s">
        <v>5</v>
      </c>
      <c r="I32" s="4" t="s">
        <v>14</v>
      </c>
      <c r="J32" s="4" t="s">
        <v>3</v>
      </c>
      <c r="K32" s="5">
        <f>K33+K34+K35+K36</f>
        <v>11289.6</v>
      </c>
      <c r="L32" s="5">
        <f>SUM(L33+L34+L35+L36)</f>
        <v>8853.2</v>
      </c>
      <c r="M32" s="5">
        <f>SUM(M33+M34+M35+M36)</f>
        <v>20142.8</v>
      </c>
      <c r="N32" s="11"/>
      <c r="O32" s="13">
        <f>SUM(O33+O34+O35+O36)</f>
        <v>-643.6999999999998</v>
      </c>
      <c r="P32" s="13">
        <f>SUM(P33+P34+P35+P36)</f>
        <v>19499.100000000002</v>
      </c>
      <c r="Q32" s="11"/>
      <c r="R32" s="13">
        <f>SUM(R33+R34+R35+R36)</f>
        <v>-562.7</v>
      </c>
      <c r="S32" s="13">
        <f>SUM(S33+S34+S35+S36)</f>
        <v>18936.4</v>
      </c>
      <c r="T32" s="17" t="s">
        <v>300</v>
      </c>
    </row>
    <row r="33" spans="1:20" ht="54.75" customHeight="1" hidden="1" outlineLevel="1">
      <c r="A33" s="1"/>
      <c r="B33" s="2"/>
      <c r="C33" s="3"/>
      <c r="D33" s="90" t="s">
        <v>56</v>
      </c>
      <c r="E33" s="90"/>
      <c r="F33" s="90"/>
      <c r="G33" s="90"/>
      <c r="H33" s="4" t="s">
        <v>5</v>
      </c>
      <c r="I33" s="4" t="s">
        <v>14</v>
      </c>
      <c r="J33" s="4" t="s">
        <v>10</v>
      </c>
      <c r="K33" s="5">
        <v>1856.5</v>
      </c>
      <c r="L33" s="5">
        <f>88.8+16.1</f>
        <v>104.9</v>
      </c>
      <c r="M33" s="6">
        <f>SUM(K33+L33)</f>
        <v>1961.4</v>
      </c>
      <c r="N33" s="11" t="s">
        <v>178</v>
      </c>
      <c r="O33" s="13">
        <f>2.8+0.2</f>
        <v>3</v>
      </c>
      <c r="P33" s="12">
        <f>SUM(M33+O33)</f>
        <v>1964.4</v>
      </c>
      <c r="Q33" s="11" t="s">
        <v>242</v>
      </c>
      <c r="R33" s="13">
        <f>-0.2-88.8</f>
        <v>-89</v>
      </c>
      <c r="S33" s="12">
        <f>SUM(P33+R33)</f>
        <v>1875.4</v>
      </c>
      <c r="T33" s="11" t="s">
        <v>260</v>
      </c>
    </row>
    <row r="34" spans="1:20" ht="12.75" customHeight="1" hidden="1" outlineLevel="1">
      <c r="A34" s="1"/>
      <c r="B34" s="2"/>
      <c r="C34" s="3"/>
      <c r="D34" s="90" t="s">
        <v>57</v>
      </c>
      <c r="E34" s="90"/>
      <c r="F34" s="90"/>
      <c r="G34" s="90"/>
      <c r="H34" s="4" t="s">
        <v>5</v>
      </c>
      <c r="I34" s="4" t="s">
        <v>14</v>
      </c>
      <c r="J34" s="4" t="s">
        <v>9</v>
      </c>
      <c r="K34" s="5">
        <v>1179.3</v>
      </c>
      <c r="L34" s="5"/>
      <c r="M34" s="6">
        <f>SUM(K34+L34)</f>
        <v>1179.3</v>
      </c>
      <c r="N34" s="11"/>
      <c r="O34" s="13"/>
      <c r="P34" s="12">
        <f>SUM(M34+O34)</f>
        <v>1179.3</v>
      </c>
      <c r="Q34" s="11"/>
      <c r="R34" s="13">
        <v>150</v>
      </c>
      <c r="S34" s="12">
        <f>SUM(P34+R34)</f>
        <v>1329.3</v>
      </c>
      <c r="T34" s="11"/>
    </row>
    <row r="35" spans="1:20" ht="69.75" customHeight="1" hidden="1" outlineLevel="1">
      <c r="A35" s="1"/>
      <c r="B35" s="2"/>
      <c r="C35" s="3"/>
      <c r="D35" s="90" t="s">
        <v>58</v>
      </c>
      <c r="E35" s="90"/>
      <c r="F35" s="90"/>
      <c r="G35" s="90"/>
      <c r="H35" s="4" t="s">
        <v>5</v>
      </c>
      <c r="I35" s="4" t="s">
        <v>14</v>
      </c>
      <c r="J35" s="4" t="s">
        <v>8</v>
      </c>
      <c r="K35" s="5">
        <v>7753.8</v>
      </c>
      <c r="L35" s="5">
        <f>50+5122-819.7</f>
        <v>4352.3</v>
      </c>
      <c r="M35" s="6">
        <f>SUM(K35+L35)</f>
        <v>12106.1</v>
      </c>
      <c r="N35" s="11" t="s">
        <v>204</v>
      </c>
      <c r="O35" s="13">
        <f>-1002.8-1543.9</f>
        <v>-2546.7</v>
      </c>
      <c r="P35" s="12">
        <f>SUM(M35+O35)</f>
        <v>9559.400000000001</v>
      </c>
      <c r="Q35" s="11" t="s">
        <v>243</v>
      </c>
      <c r="R35" s="13">
        <f>-100-127.2+100</f>
        <v>-127.19999999999999</v>
      </c>
      <c r="S35" s="12">
        <f>SUM(P35+R35)</f>
        <v>9432.2</v>
      </c>
      <c r="T35" s="17" t="s">
        <v>268</v>
      </c>
    </row>
    <row r="36" spans="1:20" ht="75" customHeight="1" hidden="1" outlineLevel="1">
      <c r="A36" s="1"/>
      <c r="B36" s="2"/>
      <c r="C36" s="3"/>
      <c r="D36" s="90" t="s">
        <v>59</v>
      </c>
      <c r="E36" s="90"/>
      <c r="F36" s="90"/>
      <c r="G36" s="90"/>
      <c r="H36" s="4" t="s">
        <v>5</v>
      </c>
      <c r="I36" s="4" t="s">
        <v>14</v>
      </c>
      <c r="J36" s="4" t="s">
        <v>7</v>
      </c>
      <c r="K36" s="5">
        <v>500</v>
      </c>
      <c r="L36" s="5">
        <v>4396</v>
      </c>
      <c r="M36" s="6">
        <f>SUM(K36+L36)</f>
        <v>4896</v>
      </c>
      <c r="N36" s="11" t="s">
        <v>229</v>
      </c>
      <c r="O36" s="13">
        <f>2000-100</f>
        <v>1900</v>
      </c>
      <c r="P36" s="12">
        <f>SUM(M36+O36)</f>
        <v>6796</v>
      </c>
      <c r="Q36" s="11" t="s">
        <v>213</v>
      </c>
      <c r="R36" s="13">
        <v>-496.5</v>
      </c>
      <c r="S36" s="12">
        <f>SUM(P36+R36)</f>
        <v>6299.5</v>
      </c>
      <c r="T36" s="17" t="s">
        <v>262</v>
      </c>
    </row>
    <row r="37" spans="1:20" ht="49.5" customHeight="1" collapsed="1">
      <c r="A37" s="1"/>
      <c r="B37" s="44"/>
      <c r="C37" s="100" t="s">
        <v>60</v>
      </c>
      <c r="D37" s="100"/>
      <c r="E37" s="100"/>
      <c r="F37" s="100"/>
      <c r="G37" s="100"/>
      <c r="H37" s="4" t="s">
        <v>5</v>
      </c>
      <c r="I37" s="4" t="s">
        <v>13</v>
      </c>
      <c r="J37" s="4" t="s">
        <v>3</v>
      </c>
      <c r="K37" s="5">
        <f>K38+K39</f>
        <v>3820.8</v>
      </c>
      <c r="L37" s="5">
        <f>SUM(L38+L39)</f>
        <v>800</v>
      </c>
      <c r="M37" s="5">
        <f>SUM(M38+M39)</f>
        <v>4620.8</v>
      </c>
      <c r="N37" s="11"/>
      <c r="O37" s="13">
        <f>SUM(O38+O39)</f>
        <v>1220</v>
      </c>
      <c r="P37" s="12">
        <f>SUM(P38+P39)</f>
        <v>5840.8</v>
      </c>
      <c r="Q37" s="11"/>
      <c r="R37" s="13">
        <f>SUM(R38+R39)</f>
        <v>950</v>
      </c>
      <c r="S37" s="12">
        <f>SUM(S38+S39)</f>
        <v>6790.8</v>
      </c>
      <c r="T37" s="11" t="s">
        <v>290</v>
      </c>
    </row>
    <row r="38" spans="1:20" ht="22.5" customHeight="1" hidden="1" outlineLevel="1">
      <c r="A38" s="1"/>
      <c r="B38" s="2"/>
      <c r="C38" s="3"/>
      <c r="D38" s="100" t="s">
        <v>61</v>
      </c>
      <c r="E38" s="100"/>
      <c r="F38" s="100"/>
      <c r="G38" s="100"/>
      <c r="H38" s="4" t="s">
        <v>5</v>
      </c>
      <c r="I38" s="4" t="s">
        <v>13</v>
      </c>
      <c r="J38" s="4" t="s">
        <v>10</v>
      </c>
      <c r="K38" s="5">
        <v>500</v>
      </c>
      <c r="L38" s="5"/>
      <c r="M38" s="6">
        <f>SUM(K38+L38)</f>
        <v>500</v>
      </c>
      <c r="N38" s="11"/>
      <c r="O38" s="13"/>
      <c r="P38" s="12">
        <f>SUM(M38+O38)</f>
        <v>500</v>
      </c>
      <c r="Q38" s="11"/>
      <c r="R38" s="13"/>
      <c r="S38" s="12">
        <f>SUM(P38+R38)</f>
        <v>500</v>
      </c>
      <c r="T38" s="11"/>
    </row>
    <row r="39" spans="1:20" ht="100.5" customHeight="1" hidden="1" outlineLevel="1">
      <c r="A39" s="1"/>
      <c r="B39" s="2"/>
      <c r="C39" s="3"/>
      <c r="D39" s="97" t="s">
        <v>62</v>
      </c>
      <c r="E39" s="98"/>
      <c r="F39" s="98"/>
      <c r="G39" s="99"/>
      <c r="H39" s="4" t="s">
        <v>5</v>
      </c>
      <c r="I39" s="4" t="s">
        <v>13</v>
      </c>
      <c r="J39" s="4" t="s">
        <v>9</v>
      </c>
      <c r="K39" s="5">
        <v>3320.8</v>
      </c>
      <c r="L39" s="5">
        <f>300+100+400</f>
        <v>800</v>
      </c>
      <c r="M39" s="6">
        <f>SUM(K39+L39)</f>
        <v>4120.8</v>
      </c>
      <c r="N39" s="11" t="s">
        <v>196</v>
      </c>
      <c r="O39" s="13">
        <f>1170+50</f>
        <v>1220</v>
      </c>
      <c r="P39" s="12">
        <f>SUM(M39+O39)</f>
        <v>5340.8</v>
      </c>
      <c r="Q39" s="45" t="s">
        <v>251</v>
      </c>
      <c r="R39" s="13">
        <v>950</v>
      </c>
      <c r="S39" s="12">
        <f>SUM(P39+R39)</f>
        <v>6290.8</v>
      </c>
      <c r="T39" s="45" t="s">
        <v>265</v>
      </c>
    </row>
    <row r="40" spans="1:20" ht="162" customHeight="1" collapsed="1">
      <c r="A40" s="1"/>
      <c r="B40" s="44"/>
      <c r="C40" s="100" t="s">
        <v>63</v>
      </c>
      <c r="D40" s="100"/>
      <c r="E40" s="100"/>
      <c r="F40" s="100"/>
      <c r="G40" s="100"/>
      <c r="H40" s="4" t="s">
        <v>5</v>
      </c>
      <c r="I40" s="4" t="s">
        <v>23</v>
      </c>
      <c r="J40" s="4" t="s">
        <v>3</v>
      </c>
      <c r="K40" s="5">
        <v>304828.6</v>
      </c>
      <c r="L40" s="5">
        <f>SUM(L41)</f>
        <v>264.1</v>
      </c>
      <c r="M40" s="5">
        <f>SUM(M41)</f>
        <v>305092.69999999995</v>
      </c>
      <c r="N40" s="11"/>
      <c r="O40" s="13">
        <f>SUM(O41+O42)</f>
        <v>0</v>
      </c>
      <c r="P40" s="13">
        <f>SUM(P41+P42)</f>
        <v>305092.69999999995</v>
      </c>
      <c r="Q40" s="11"/>
      <c r="R40" s="13">
        <f>SUM(R41+R42)</f>
        <v>3241.4999999999995</v>
      </c>
      <c r="S40" s="13">
        <f>SUM(S41+S42)</f>
        <v>308334.19999999995</v>
      </c>
      <c r="T40" s="17" t="s">
        <v>326</v>
      </c>
    </row>
    <row r="41" spans="1:20" ht="186" customHeight="1" hidden="1" outlineLevel="1">
      <c r="A41" s="1"/>
      <c r="B41" s="2"/>
      <c r="C41" s="3"/>
      <c r="D41" s="100" t="s">
        <v>64</v>
      </c>
      <c r="E41" s="100"/>
      <c r="F41" s="100"/>
      <c r="G41" s="100"/>
      <c r="H41" s="4" t="s">
        <v>5</v>
      </c>
      <c r="I41" s="4" t="s">
        <v>23</v>
      </c>
      <c r="J41" s="4" t="s">
        <v>10</v>
      </c>
      <c r="K41" s="5">
        <v>304828.6</v>
      </c>
      <c r="L41" s="5">
        <v>264.1</v>
      </c>
      <c r="M41" s="5">
        <f>SUM(K41+L41)</f>
        <v>305092.69999999995</v>
      </c>
      <c r="N41" s="11" t="s">
        <v>170</v>
      </c>
      <c r="O41" s="13">
        <v>-480</v>
      </c>
      <c r="P41" s="12">
        <f>SUM(M41+O41)</f>
        <v>304612.69999999995</v>
      </c>
      <c r="Q41" s="11" t="s">
        <v>244</v>
      </c>
      <c r="R41" s="13">
        <f>100+111.4+437.4+346.4+2001.6+113.1+146.5-14.9</f>
        <v>3241.4999999999995</v>
      </c>
      <c r="S41" s="12">
        <f>SUM(P41+R41)</f>
        <v>307854.19999999995</v>
      </c>
      <c r="T41" s="17" t="s">
        <v>325</v>
      </c>
    </row>
    <row r="42" spans="1:20" ht="47.25" customHeight="1" hidden="1" outlineLevel="1">
      <c r="A42" s="1"/>
      <c r="B42" s="2"/>
      <c r="C42" s="52"/>
      <c r="D42" s="53"/>
      <c r="E42" s="53"/>
      <c r="F42" s="53"/>
      <c r="G42" s="53" t="s">
        <v>224</v>
      </c>
      <c r="H42" s="4" t="s">
        <v>5</v>
      </c>
      <c r="I42" s="4" t="s">
        <v>23</v>
      </c>
      <c r="J42" s="4" t="s">
        <v>9</v>
      </c>
      <c r="K42" s="5"/>
      <c r="L42" s="5"/>
      <c r="M42" s="5"/>
      <c r="N42" s="11"/>
      <c r="O42" s="13">
        <v>480</v>
      </c>
      <c r="P42" s="12">
        <f>SUM(M42+O42)</f>
        <v>480</v>
      </c>
      <c r="Q42" s="11" t="s">
        <v>244</v>
      </c>
      <c r="R42" s="13"/>
      <c r="S42" s="12">
        <f>SUM(P42+R42)</f>
        <v>480</v>
      </c>
      <c r="T42" s="11"/>
    </row>
    <row r="43" spans="1:20" ht="22.5" customHeight="1" collapsed="1">
      <c r="A43" s="1"/>
      <c r="B43" s="101" t="s">
        <v>65</v>
      </c>
      <c r="C43" s="101"/>
      <c r="D43" s="101"/>
      <c r="E43" s="101"/>
      <c r="F43" s="101"/>
      <c r="G43" s="101"/>
      <c r="H43" s="47" t="s">
        <v>4</v>
      </c>
      <c r="I43" s="47" t="s">
        <v>3</v>
      </c>
      <c r="J43" s="47" t="s">
        <v>3</v>
      </c>
      <c r="K43" s="48">
        <f>K44</f>
        <v>500</v>
      </c>
      <c r="L43" s="48">
        <f>SUM(L44)</f>
        <v>0</v>
      </c>
      <c r="M43" s="48">
        <f>SUM(M44)</f>
        <v>500</v>
      </c>
      <c r="N43" s="46"/>
      <c r="O43" s="49">
        <f>SUM(O44)</f>
        <v>0</v>
      </c>
      <c r="P43" s="50">
        <f>SUM(P44)</f>
        <v>500</v>
      </c>
      <c r="Q43" s="46"/>
      <c r="R43" s="49">
        <f>SUM(R44)</f>
        <v>0</v>
      </c>
      <c r="S43" s="50">
        <f>SUM(S44)</f>
        <v>500</v>
      </c>
      <c r="T43" s="11"/>
    </row>
    <row r="44" spans="1:20" ht="22.5" customHeight="1" hidden="1" outlineLevel="1">
      <c r="A44" s="1"/>
      <c r="B44" s="2"/>
      <c r="C44" s="3"/>
      <c r="D44" s="100" t="s">
        <v>66</v>
      </c>
      <c r="E44" s="100"/>
      <c r="F44" s="100"/>
      <c r="G44" s="100"/>
      <c r="H44" s="4" t="s">
        <v>4</v>
      </c>
      <c r="I44" s="4" t="s">
        <v>1</v>
      </c>
      <c r="J44" s="4" t="s">
        <v>10</v>
      </c>
      <c r="K44" s="5">
        <v>500</v>
      </c>
      <c r="L44" s="5"/>
      <c r="M44" s="6">
        <f>SUM(K44+L44)</f>
        <v>500</v>
      </c>
      <c r="N44" s="11"/>
      <c r="O44" s="13"/>
      <c r="P44" s="12">
        <f>SUM(M44+O44)</f>
        <v>500</v>
      </c>
      <c r="Q44" s="11"/>
      <c r="R44" s="13"/>
      <c r="S44" s="12">
        <f>SUM(P44+R44)</f>
        <v>500</v>
      </c>
      <c r="T44" s="11"/>
    </row>
    <row r="45" spans="1:20" ht="110.25" customHeight="1" collapsed="1">
      <c r="A45" s="1"/>
      <c r="B45" s="101" t="s">
        <v>67</v>
      </c>
      <c r="C45" s="101"/>
      <c r="D45" s="101"/>
      <c r="E45" s="101"/>
      <c r="F45" s="101"/>
      <c r="G45" s="101"/>
      <c r="H45" s="47" t="s">
        <v>0</v>
      </c>
      <c r="I45" s="47" t="s">
        <v>3</v>
      </c>
      <c r="J45" s="47" t="s">
        <v>3</v>
      </c>
      <c r="K45" s="48">
        <f>K46</f>
        <v>15099.3</v>
      </c>
      <c r="L45" s="48">
        <f>SUM(L46)</f>
        <v>435</v>
      </c>
      <c r="M45" s="48">
        <f>SUM(M46)</f>
        <v>15534.3</v>
      </c>
      <c r="N45" s="46"/>
      <c r="O45" s="49">
        <f>SUM(O46)</f>
        <v>0</v>
      </c>
      <c r="P45" s="50">
        <f>SUM(P46)</f>
        <v>15534.3</v>
      </c>
      <c r="Q45" s="46"/>
      <c r="R45" s="49">
        <f>SUM(R46)</f>
        <v>620</v>
      </c>
      <c r="S45" s="50">
        <f>SUM(S46)</f>
        <v>16154.3</v>
      </c>
      <c r="T45" s="11" t="s">
        <v>295</v>
      </c>
    </row>
    <row r="46" spans="1:20" ht="109.5" customHeight="1" hidden="1" outlineLevel="1">
      <c r="A46" s="1"/>
      <c r="B46" s="2"/>
      <c r="C46" s="3"/>
      <c r="D46" s="100" t="s">
        <v>68</v>
      </c>
      <c r="E46" s="100"/>
      <c r="F46" s="100"/>
      <c r="G46" s="100"/>
      <c r="H46" s="4" t="s">
        <v>0</v>
      </c>
      <c r="I46" s="4" t="s">
        <v>1</v>
      </c>
      <c r="J46" s="4" t="s">
        <v>10</v>
      </c>
      <c r="K46" s="5">
        <v>15099.3</v>
      </c>
      <c r="L46" s="5">
        <v>435</v>
      </c>
      <c r="M46" s="6">
        <f>SUM(K46+L46)</f>
        <v>15534.3</v>
      </c>
      <c r="N46" s="11" t="s">
        <v>183</v>
      </c>
      <c r="O46" s="13"/>
      <c r="P46" s="12">
        <f>SUM(M46+O46)</f>
        <v>15534.3</v>
      </c>
      <c r="Q46" s="11"/>
      <c r="R46" s="13">
        <f>220+300+100</f>
        <v>620</v>
      </c>
      <c r="S46" s="12">
        <f>SUM(P46+R46)</f>
        <v>16154.3</v>
      </c>
      <c r="T46" s="11" t="s">
        <v>266</v>
      </c>
    </row>
    <row r="47" spans="1:20" ht="52.5" customHeight="1">
      <c r="A47" s="1"/>
      <c r="B47" s="101" t="s">
        <v>69</v>
      </c>
      <c r="C47" s="101"/>
      <c r="D47" s="101"/>
      <c r="E47" s="101"/>
      <c r="F47" s="101"/>
      <c r="G47" s="101"/>
      <c r="H47" s="47" t="s">
        <v>28</v>
      </c>
      <c r="I47" s="47" t="s">
        <v>3</v>
      </c>
      <c r="J47" s="47" t="s">
        <v>3</v>
      </c>
      <c r="K47" s="48">
        <f>K48+K52</f>
        <v>309033.10000000003</v>
      </c>
      <c r="L47" s="48">
        <f>SUM(L48+L52)</f>
        <v>6511</v>
      </c>
      <c r="M47" s="48">
        <f>SUM(M48+M52)</f>
        <v>315544.1</v>
      </c>
      <c r="N47" s="46"/>
      <c r="O47" s="49">
        <f>SUM(O48+O52)</f>
        <v>2020.5</v>
      </c>
      <c r="P47" s="50">
        <f>SUM(P48+P52)</f>
        <v>317564.6</v>
      </c>
      <c r="Q47" s="46"/>
      <c r="R47" s="49">
        <f>SUM(R48+R52)</f>
        <v>6734.6</v>
      </c>
      <c r="S47" s="77">
        <f>SUM(S48+S52)</f>
        <v>324299.2</v>
      </c>
      <c r="T47" s="11"/>
    </row>
    <row r="48" spans="1:20" ht="291" customHeight="1" collapsed="1">
      <c r="A48" s="1"/>
      <c r="B48" s="44"/>
      <c r="C48" s="100" t="s">
        <v>70</v>
      </c>
      <c r="D48" s="100"/>
      <c r="E48" s="100"/>
      <c r="F48" s="100"/>
      <c r="G48" s="100"/>
      <c r="H48" s="4" t="s">
        <v>28</v>
      </c>
      <c r="I48" s="4" t="s">
        <v>14</v>
      </c>
      <c r="J48" s="4" t="s">
        <v>3</v>
      </c>
      <c r="K48" s="5">
        <v>304710.7</v>
      </c>
      <c r="L48" s="5">
        <f>SUM(L49+L50)</f>
        <v>4693.1</v>
      </c>
      <c r="M48" s="5">
        <f>SUM(M49+M50)</f>
        <v>309403.8</v>
      </c>
      <c r="N48" s="11"/>
      <c r="O48" s="13">
        <f>SUM(O49+O50+O51)</f>
        <v>1371</v>
      </c>
      <c r="P48" s="13">
        <f>SUM(P49+P50+P51)</f>
        <v>310774.8</v>
      </c>
      <c r="Q48" s="11"/>
      <c r="R48" s="13">
        <f>SUM(R49+R50+R51)</f>
        <v>6134.6</v>
      </c>
      <c r="S48" s="78">
        <f>SUM(S49+S50+S51)</f>
        <v>316909.4</v>
      </c>
      <c r="T48" s="76" t="s">
        <v>313</v>
      </c>
    </row>
    <row r="49" spans="1:20" ht="45.75" customHeight="1" hidden="1" outlineLevel="1">
      <c r="A49" s="1"/>
      <c r="B49" s="2"/>
      <c r="C49" s="3"/>
      <c r="D49" s="97" t="s">
        <v>71</v>
      </c>
      <c r="E49" s="98"/>
      <c r="F49" s="98"/>
      <c r="G49" s="99"/>
      <c r="H49" s="4" t="s">
        <v>28</v>
      </c>
      <c r="I49" s="4" t="s">
        <v>14</v>
      </c>
      <c r="J49" s="4" t="s">
        <v>10</v>
      </c>
      <c r="K49" s="5">
        <v>159800.4</v>
      </c>
      <c r="L49" s="5">
        <f>6602.1+347.5+200-2574</f>
        <v>4575.6</v>
      </c>
      <c r="M49" s="6">
        <f>SUM(K49+L49)</f>
        <v>164376</v>
      </c>
      <c r="N49" s="11" t="s">
        <v>230</v>
      </c>
      <c r="O49" s="13">
        <v>1021</v>
      </c>
      <c r="P49" s="12">
        <f>SUM(M49+O49)</f>
        <v>165397</v>
      </c>
      <c r="Q49" s="11" t="s">
        <v>220</v>
      </c>
      <c r="R49" s="13"/>
      <c r="S49" s="12">
        <f>SUM(P49+R49)</f>
        <v>165397</v>
      </c>
      <c r="T49" s="11"/>
    </row>
    <row r="50" spans="1:20" ht="294" customHeight="1" hidden="1" outlineLevel="1">
      <c r="A50" s="1"/>
      <c r="B50" s="2"/>
      <c r="C50" s="3"/>
      <c r="D50" s="97" t="s">
        <v>72</v>
      </c>
      <c r="E50" s="98"/>
      <c r="F50" s="98"/>
      <c r="G50" s="99"/>
      <c r="H50" s="4" t="s">
        <v>28</v>
      </c>
      <c r="I50" s="4" t="s">
        <v>14</v>
      </c>
      <c r="J50" s="4" t="s">
        <v>9</v>
      </c>
      <c r="K50" s="5">
        <v>144910.3</v>
      </c>
      <c r="L50" s="5">
        <v>117.5</v>
      </c>
      <c r="M50" s="6">
        <f>SUM(K50+L50)</f>
        <v>145027.8</v>
      </c>
      <c r="N50" s="11" t="s">
        <v>186</v>
      </c>
      <c r="O50" s="13">
        <f>350-5280</f>
        <v>-4930</v>
      </c>
      <c r="P50" s="12">
        <f>SUM(M50+O50)</f>
        <v>140097.8</v>
      </c>
      <c r="Q50" s="11" t="s">
        <v>228</v>
      </c>
      <c r="R50" s="13">
        <f>247.5-600+5431.7+933.6+73.3+102-53.5</f>
        <v>6134.6</v>
      </c>
      <c r="S50" s="12">
        <f>SUM(P50+R50)</f>
        <v>146232.4</v>
      </c>
      <c r="T50" s="11" t="s">
        <v>312</v>
      </c>
    </row>
    <row r="51" spans="1:20" ht="51.75" customHeight="1" hidden="1" outlineLevel="1">
      <c r="A51" s="1"/>
      <c r="B51" s="44"/>
      <c r="C51" s="3"/>
      <c r="D51" s="19"/>
      <c r="E51" s="20"/>
      <c r="F51" s="20"/>
      <c r="G51" s="21" t="s">
        <v>224</v>
      </c>
      <c r="H51" s="4" t="s">
        <v>28</v>
      </c>
      <c r="I51" s="4" t="s">
        <v>14</v>
      </c>
      <c r="J51" s="4">
        <v>3</v>
      </c>
      <c r="K51" s="5"/>
      <c r="L51" s="5"/>
      <c r="M51" s="6"/>
      <c r="N51" s="11"/>
      <c r="O51" s="13">
        <v>5280</v>
      </c>
      <c r="P51" s="12">
        <f>SUM(M51+O51)</f>
        <v>5280</v>
      </c>
      <c r="Q51" s="11" t="s">
        <v>227</v>
      </c>
      <c r="R51" s="13"/>
      <c r="S51" s="12">
        <f>SUM(P51+R51)</f>
        <v>5280</v>
      </c>
      <c r="T51" s="11"/>
    </row>
    <row r="52" spans="1:20" ht="57" customHeight="1" collapsed="1">
      <c r="A52" s="1"/>
      <c r="B52" s="44"/>
      <c r="C52" s="100" t="s">
        <v>73</v>
      </c>
      <c r="D52" s="100"/>
      <c r="E52" s="100"/>
      <c r="F52" s="100"/>
      <c r="G52" s="100"/>
      <c r="H52" s="4" t="s">
        <v>28</v>
      </c>
      <c r="I52" s="4" t="s">
        <v>13</v>
      </c>
      <c r="J52" s="4" t="s">
        <v>3</v>
      </c>
      <c r="K52" s="5">
        <f>K53+K54</f>
        <v>4322.4</v>
      </c>
      <c r="L52" s="5">
        <f>SUM(L53+L54)</f>
        <v>1817.9</v>
      </c>
      <c r="M52" s="5">
        <f>SUM(M53+M54)</f>
        <v>6140.3</v>
      </c>
      <c r="N52" s="11"/>
      <c r="O52" s="13">
        <f>SUM(O53+O54)</f>
        <v>649.5</v>
      </c>
      <c r="P52" s="12">
        <f>SUM(P53+P54)</f>
        <v>6789.8</v>
      </c>
      <c r="Q52" s="11"/>
      <c r="R52" s="13">
        <f>SUM(R53+R54)</f>
        <v>600</v>
      </c>
      <c r="S52" s="12">
        <f>SUM(S53+S54)</f>
        <v>7389.8</v>
      </c>
      <c r="T52" s="75" t="s">
        <v>261</v>
      </c>
    </row>
    <row r="53" spans="1:20" ht="83.25" customHeight="1" hidden="1" outlineLevel="1">
      <c r="A53" s="1"/>
      <c r="B53" s="2"/>
      <c r="C53" s="3"/>
      <c r="D53" s="100" t="s">
        <v>74</v>
      </c>
      <c r="E53" s="100"/>
      <c r="F53" s="100"/>
      <c r="G53" s="100"/>
      <c r="H53" s="4" t="s">
        <v>28</v>
      </c>
      <c r="I53" s="4" t="s">
        <v>13</v>
      </c>
      <c r="J53" s="4" t="s">
        <v>10</v>
      </c>
      <c r="K53" s="5">
        <v>3000</v>
      </c>
      <c r="L53" s="5"/>
      <c r="M53" s="6">
        <f>SUM(K53+L53)</f>
        <v>3000</v>
      </c>
      <c r="N53" s="11"/>
      <c r="O53" s="13">
        <v>452</v>
      </c>
      <c r="P53" s="12">
        <f>SUM(M53+O53)</f>
        <v>3452</v>
      </c>
      <c r="Q53" s="11" t="s">
        <v>246</v>
      </c>
      <c r="R53" s="13">
        <v>600</v>
      </c>
      <c r="S53" s="12">
        <f>SUM(P53+R53)</f>
        <v>4052</v>
      </c>
      <c r="T53" s="11" t="s">
        <v>261</v>
      </c>
    </row>
    <row r="54" spans="1:20" ht="38.25" customHeight="1" hidden="1" outlineLevel="1">
      <c r="A54" s="1"/>
      <c r="B54" s="2"/>
      <c r="C54" s="3"/>
      <c r="D54" s="97" t="s">
        <v>75</v>
      </c>
      <c r="E54" s="98"/>
      <c r="F54" s="98"/>
      <c r="G54" s="99"/>
      <c r="H54" s="4" t="s">
        <v>28</v>
      </c>
      <c r="I54" s="4" t="s">
        <v>13</v>
      </c>
      <c r="J54" s="4" t="s">
        <v>8</v>
      </c>
      <c r="K54" s="5">
        <v>1322.4</v>
      </c>
      <c r="L54" s="5">
        <f>-65+427.1+198.8+300+490+467</f>
        <v>1817.9</v>
      </c>
      <c r="M54" s="6">
        <f>SUM(K54+L54)</f>
        <v>3140.3</v>
      </c>
      <c r="N54" s="11" t="s">
        <v>172</v>
      </c>
      <c r="O54" s="13">
        <f>97.5+100</f>
        <v>197.5</v>
      </c>
      <c r="P54" s="12">
        <f>SUM(M54+O54)</f>
        <v>3337.8</v>
      </c>
      <c r="Q54" s="45" t="s">
        <v>245</v>
      </c>
      <c r="R54" s="13"/>
      <c r="S54" s="12">
        <f>SUM(P54+R54)</f>
        <v>3337.8</v>
      </c>
      <c r="T54" s="45"/>
    </row>
    <row r="55" spans="1:20" ht="173.25" customHeight="1" collapsed="1">
      <c r="A55" s="1"/>
      <c r="B55" s="101" t="s">
        <v>76</v>
      </c>
      <c r="C55" s="101"/>
      <c r="D55" s="101"/>
      <c r="E55" s="101"/>
      <c r="F55" s="101"/>
      <c r="G55" s="101"/>
      <c r="H55" s="47" t="s">
        <v>27</v>
      </c>
      <c r="I55" s="47" t="s">
        <v>3</v>
      </c>
      <c r="J55" s="47" t="s">
        <v>3</v>
      </c>
      <c r="K55" s="48">
        <f>K56+K57+K58+K59</f>
        <v>59900.7</v>
      </c>
      <c r="L55" s="48">
        <f>SUM(L56+L57+L58+L59)</f>
        <v>13919</v>
      </c>
      <c r="M55" s="48">
        <f>SUM(M56+M57+M58+M59)</f>
        <v>73819.7</v>
      </c>
      <c r="N55" s="46"/>
      <c r="O55" s="49">
        <f>SUM(O56+O57+O58+O59)</f>
        <v>-2415.3999999999996</v>
      </c>
      <c r="P55" s="50">
        <f>SUM(P56+P57+P58+P59)</f>
        <v>71404.3</v>
      </c>
      <c r="Q55" s="46"/>
      <c r="R55" s="49">
        <f>SUM(R56+R57+R58+R59)</f>
        <v>-4536.4</v>
      </c>
      <c r="S55" s="50">
        <f>SUM(S56+S57+S58+S59)</f>
        <v>66867.9</v>
      </c>
      <c r="T55" s="11" t="s">
        <v>327</v>
      </c>
    </row>
    <row r="56" spans="1:20" ht="87.75" customHeight="1" hidden="1" outlineLevel="1">
      <c r="A56" s="1"/>
      <c r="B56" s="2"/>
      <c r="C56" s="3"/>
      <c r="D56" s="100" t="s">
        <v>77</v>
      </c>
      <c r="E56" s="100"/>
      <c r="F56" s="100"/>
      <c r="G56" s="100"/>
      <c r="H56" s="4" t="s">
        <v>27</v>
      </c>
      <c r="I56" s="4" t="s">
        <v>1</v>
      </c>
      <c r="J56" s="4" t="s">
        <v>10</v>
      </c>
      <c r="K56" s="5">
        <v>38771.9</v>
      </c>
      <c r="L56" s="5"/>
      <c r="M56" s="6">
        <f>SUM(K56+L56)</f>
        <v>38771.9</v>
      </c>
      <c r="N56" s="11"/>
      <c r="O56" s="13"/>
      <c r="P56" s="12">
        <f>SUM(M56+O56)</f>
        <v>38771.9</v>
      </c>
      <c r="Q56" s="11"/>
      <c r="R56" s="13">
        <v>495</v>
      </c>
      <c r="S56" s="12">
        <f>SUM(P56+R56)</f>
        <v>39266.9</v>
      </c>
      <c r="T56" s="11" t="s">
        <v>318</v>
      </c>
    </row>
    <row r="57" spans="1:20" ht="51" customHeight="1" hidden="1" outlineLevel="1">
      <c r="A57" s="1"/>
      <c r="B57" s="2"/>
      <c r="C57" s="3"/>
      <c r="D57" s="90" t="s">
        <v>78</v>
      </c>
      <c r="E57" s="90"/>
      <c r="F57" s="90"/>
      <c r="G57" s="90"/>
      <c r="H57" s="4" t="s">
        <v>27</v>
      </c>
      <c r="I57" s="4" t="s">
        <v>1</v>
      </c>
      <c r="J57" s="4" t="s">
        <v>9</v>
      </c>
      <c r="K57" s="5">
        <v>11200</v>
      </c>
      <c r="L57" s="5">
        <v>5700</v>
      </c>
      <c r="M57" s="6">
        <f>SUM(K57+L57)</f>
        <v>16900</v>
      </c>
      <c r="N57" s="11" t="s">
        <v>188</v>
      </c>
      <c r="O57" s="13">
        <f>-170-323</f>
        <v>-493</v>
      </c>
      <c r="P57" s="12">
        <f>SUM(M57+O57)</f>
        <v>16407</v>
      </c>
      <c r="Q57" s="11" t="s">
        <v>221</v>
      </c>
      <c r="R57" s="13">
        <v>-35.9</v>
      </c>
      <c r="S57" s="12">
        <f>SUM(P57+R57)</f>
        <v>16371.1</v>
      </c>
      <c r="T57" s="11" t="s">
        <v>277</v>
      </c>
    </row>
    <row r="58" spans="1:20" ht="67.5" customHeight="1" hidden="1" outlineLevel="1">
      <c r="A58" s="1"/>
      <c r="B58" s="2"/>
      <c r="C58" s="3"/>
      <c r="D58" s="90" t="s">
        <v>79</v>
      </c>
      <c r="E58" s="90"/>
      <c r="F58" s="90"/>
      <c r="G58" s="90"/>
      <c r="H58" s="4" t="s">
        <v>27</v>
      </c>
      <c r="I58" s="4" t="s">
        <v>1</v>
      </c>
      <c r="J58" s="4" t="s">
        <v>8</v>
      </c>
      <c r="K58" s="5">
        <v>8437.8</v>
      </c>
      <c r="L58" s="5">
        <f>7000+819+400</f>
        <v>8219</v>
      </c>
      <c r="M58" s="6">
        <f>SUM(K58+L58)</f>
        <v>16656.8</v>
      </c>
      <c r="N58" s="11" t="s">
        <v>205</v>
      </c>
      <c r="O58" s="13">
        <v>-779.6</v>
      </c>
      <c r="P58" s="12">
        <f>SUM(M58+O58)</f>
        <v>15877.199999999999</v>
      </c>
      <c r="Q58" s="11" t="s">
        <v>238</v>
      </c>
      <c r="R58" s="13">
        <f>-5034.5+39</f>
        <v>-4995.5</v>
      </c>
      <c r="S58" s="12">
        <f>SUM(P58+R58)</f>
        <v>10881.699999999999</v>
      </c>
      <c r="T58" s="11" t="s">
        <v>315</v>
      </c>
    </row>
    <row r="59" spans="1:20" ht="27.75" customHeight="1" hidden="1" outlineLevel="1">
      <c r="A59" s="1"/>
      <c r="B59" s="2"/>
      <c r="C59" s="3"/>
      <c r="D59" s="100" t="s">
        <v>80</v>
      </c>
      <c r="E59" s="100"/>
      <c r="F59" s="100"/>
      <c r="G59" s="100"/>
      <c r="H59" s="4" t="s">
        <v>27</v>
      </c>
      <c r="I59" s="4" t="s">
        <v>1</v>
      </c>
      <c r="J59" s="4" t="s">
        <v>6</v>
      </c>
      <c r="K59" s="5">
        <v>1491</v>
      </c>
      <c r="L59" s="5"/>
      <c r="M59" s="6">
        <f>SUM(K59+L59)</f>
        <v>1491</v>
      </c>
      <c r="N59" s="11"/>
      <c r="O59" s="13">
        <f>-1021-121.8</f>
        <v>-1142.8</v>
      </c>
      <c r="P59" s="12">
        <f>SUM(M59+O59)</f>
        <v>348.20000000000005</v>
      </c>
      <c r="Q59" s="11" t="s">
        <v>237</v>
      </c>
      <c r="R59" s="13"/>
      <c r="S59" s="12">
        <f>SUM(P59+R59)</f>
        <v>348.20000000000005</v>
      </c>
      <c r="T59" s="11"/>
    </row>
    <row r="60" spans="1:20" ht="36.75" customHeight="1">
      <c r="A60" s="1"/>
      <c r="B60" s="101" t="s">
        <v>81</v>
      </c>
      <c r="C60" s="101"/>
      <c r="D60" s="101"/>
      <c r="E60" s="101"/>
      <c r="F60" s="101"/>
      <c r="G60" s="101"/>
      <c r="H60" s="47" t="s">
        <v>26</v>
      </c>
      <c r="I60" s="47" t="s">
        <v>3</v>
      </c>
      <c r="J60" s="47" t="s">
        <v>3</v>
      </c>
      <c r="K60" s="48">
        <f>K61+K63+K66+K69+K71</f>
        <v>94289.9</v>
      </c>
      <c r="L60" s="48">
        <f>SUM(L61+L63+L66+L69+L71)</f>
        <v>30355.399999999998</v>
      </c>
      <c r="M60" s="48">
        <f>SUM(M61+M63+M66+M69+M71)</f>
        <v>124645.3</v>
      </c>
      <c r="N60" s="46"/>
      <c r="O60" s="49">
        <f>SUM(O61+O63+O66+O69+O71)</f>
        <v>59439</v>
      </c>
      <c r="P60" s="49">
        <f>SUM(P61+P63+P66+P69+P71)</f>
        <v>184084.3</v>
      </c>
      <c r="Q60" s="46"/>
      <c r="R60" s="49">
        <f>SUM(R61+R63+R66+R69+R71)</f>
        <v>283854.19999999995</v>
      </c>
      <c r="S60" s="49">
        <f>SUM(S61+S63+S66+S69+S71)</f>
        <v>467938.5</v>
      </c>
      <c r="T60" s="11"/>
    </row>
    <row r="61" spans="1:20" ht="39" customHeight="1" collapsed="1">
      <c r="A61" s="1"/>
      <c r="B61" s="44"/>
      <c r="C61" s="100" t="s">
        <v>82</v>
      </c>
      <c r="D61" s="100"/>
      <c r="E61" s="100"/>
      <c r="F61" s="100"/>
      <c r="G61" s="100"/>
      <c r="H61" s="4" t="s">
        <v>26</v>
      </c>
      <c r="I61" s="4" t="s">
        <v>14</v>
      </c>
      <c r="J61" s="4" t="s">
        <v>3</v>
      </c>
      <c r="K61" s="5">
        <v>1002.4</v>
      </c>
      <c r="L61" s="5">
        <f>SUM(L62)</f>
        <v>102.6</v>
      </c>
      <c r="M61" s="5">
        <f>M62</f>
        <v>1105</v>
      </c>
      <c r="N61" s="11"/>
      <c r="O61" s="13">
        <f>SUM(O62)</f>
        <v>-302.5</v>
      </c>
      <c r="P61" s="12">
        <f>P62</f>
        <v>802.5</v>
      </c>
      <c r="Q61" s="11"/>
      <c r="R61" s="13">
        <f>SUM(R62)</f>
        <v>-0.1</v>
      </c>
      <c r="S61" s="12">
        <f>S62</f>
        <v>802.4</v>
      </c>
      <c r="T61" s="11" t="s">
        <v>287</v>
      </c>
    </row>
    <row r="62" spans="1:20" ht="46.5" customHeight="1" hidden="1" outlineLevel="1">
      <c r="A62" s="1"/>
      <c r="B62" s="2"/>
      <c r="C62" s="3"/>
      <c r="D62" s="100" t="s">
        <v>83</v>
      </c>
      <c r="E62" s="100"/>
      <c r="F62" s="100"/>
      <c r="G62" s="100"/>
      <c r="H62" s="4" t="s">
        <v>26</v>
      </c>
      <c r="I62" s="4" t="s">
        <v>14</v>
      </c>
      <c r="J62" s="4" t="s">
        <v>10</v>
      </c>
      <c r="K62" s="5">
        <v>1002.4</v>
      </c>
      <c r="L62" s="5">
        <v>102.6</v>
      </c>
      <c r="M62" s="5">
        <f>SUM(K62+L62)</f>
        <v>1105</v>
      </c>
      <c r="N62" s="11" t="s">
        <v>179</v>
      </c>
      <c r="O62" s="13">
        <v>-302.5</v>
      </c>
      <c r="P62" s="12">
        <f>SUM(M62+O62)</f>
        <v>802.5</v>
      </c>
      <c r="Q62" s="54" t="s">
        <v>208</v>
      </c>
      <c r="R62" s="13">
        <v>-0.1</v>
      </c>
      <c r="S62" s="12">
        <f>SUM(P62+R62)</f>
        <v>802.4</v>
      </c>
      <c r="T62" s="54" t="s">
        <v>287</v>
      </c>
    </row>
    <row r="63" spans="1:20" ht="133.5" customHeight="1" collapsed="1">
      <c r="A63" s="1"/>
      <c r="B63" s="44"/>
      <c r="C63" s="100" t="s">
        <v>84</v>
      </c>
      <c r="D63" s="100"/>
      <c r="E63" s="100"/>
      <c r="F63" s="100"/>
      <c r="G63" s="100"/>
      <c r="H63" s="4" t="s">
        <v>26</v>
      </c>
      <c r="I63" s="4" t="s">
        <v>13</v>
      </c>
      <c r="J63" s="4" t="s">
        <v>3</v>
      </c>
      <c r="K63" s="5">
        <v>18883.6</v>
      </c>
      <c r="L63" s="5">
        <f>SUM(L64+L65)</f>
        <v>-3792.3</v>
      </c>
      <c r="M63" s="5">
        <f>M64+M65</f>
        <v>15091.300000000001</v>
      </c>
      <c r="N63" s="11"/>
      <c r="O63" s="13">
        <f>SUM(O64+O65)</f>
        <v>1991.5</v>
      </c>
      <c r="P63" s="13">
        <f>P64+P65</f>
        <v>17082.800000000003</v>
      </c>
      <c r="Q63" s="11"/>
      <c r="R63" s="13">
        <f>SUM(R64+R65)</f>
        <v>9776.400000000001</v>
      </c>
      <c r="S63" s="13">
        <f>S64+S65</f>
        <v>26859.200000000004</v>
      </c>
      <c r="T63" s="11" t="s">
        <v>257</v>
      </c>
    </row>
    <row r="64" spans="1:20" ht="133.5" customHeight="1" hidden="1" outlineLevel="1">
      <c r="A64" s="1"/>
      <c r="B64" s="2"/>
      <c r="C64" s="3"/>
      <c r="D64" s="100" t="s">
        <v>85</v>
      </c>
      <c r="E64" s="100"/>
      <c r="F64" s="100"/>
      <c r="G64" s="100"/>
      <c r="H64" s="4" t="s">
        <v>26</v>
      </c>
      <c r="I64" s="4" t="s">
        <v>13</v>
      </c>
      <c r="J64" s="4" t="s">
        <v>10</v>
      </c>
      <c r="K64" s="5">
        <v>18867.2</v>
      </c>
      <c r="L64" s="5">
        <v>-3792.3</v>
      </c>
      <c r="M64" s="5">
        <f>SUM(K64+L64)</f>
        <v>15074.900000000001</v>
      </c>
      <c r="N64" s="11" t="s">
        <v>182</v>
      </c>
      <c r="O64" s="13">
        <v>1991.5</v>
      </c>
      <c r="P64" s="12">
        <f>SUM(M64+O64)</f>
        <v>17066.4</v>
      </c>
      <c r="Q64" s="55" t="s">
        <v>247</v>
      </c>
      <c r="R64" s="13">
        <f>5081.1+4695.3</f>
        <v>9776.400000000001</v>
      </c>
      <c r="S64" s="12">
        <f>SUM(P64+R64)</f>
        <v>26842.800000000003</v>
      </c>
      <c r="T64" s="56" t="s">
        <v>257</v>
      </c>
    </row>
    <row r="65" spans="1:20" ht="56.25" customHeight="1" hidden="1" outlineLevel="1">
      <c r="A65" s="1"/>
      <c r="B65" s="2"/>
      <c r="C65" s="3"/>
      <c r="D65" s="100" t="s">
        <v>86</v>
      </c>
      <c r="E65" s="100"/>
      <c r="F65" s="100"/>
      <c r="G65" s="100"/>
      <c r="H65" s="4" t="s">
        <v>26</v>
      </c>
      <c r="I65" s="4" t="s">
        <v>13</v>
      </c>
      <c r="J65" s="4" t="s">
        <v>9</v>
      </c>
      <c r="K65" s="5">
        <v>16.4</v>
      </c>
      <c r="L65" s="5"/>
      <c r="M65" s="5">
        <f>SUM(K65+L65)</f>
        <v>16.4</v>
      </c>
      <c r="N65" s="11"/>
      <c r="O65" s="13"/>
      <c r="P65" s="12">
        <f>SUM(M65+O65)</f>
        <v>16.4</v>
      </c>
      <c r="Q65" s="11"/>
      <c r="R65" s="13"/>
      <c r="S65" s="12">
        <f>SUM(P65+R65)</f>
        <v>16.4</v>
      </c>
      <c r="T65" s="11"/>
    </row>
    <row r="66" spans="1:20" ht="201.75" customHeight="1" collapsed="1">
      <c r="A66" s="1"/>
      <c r="B66" s="44"/>
      <c r="C66" s="100" t="s">
        <v>87</v>
      </c>
      <c r="D66" s="100"/>
      <c r="E66" s="100"/>
      <c r="F66" s="100"/>
      <c r="G66" s="100"/>
      <c r="H66" s="4" t="s">
        <v>26</v>
      </c>
      <c r="I66" s="4" t="s">
        <v>11</v>
      </c>
      <c r="J66" s="4" t="s">
        <v>3</v>
      </c>
      <c r="K66" s="5">
        <f>K67+K68</f>
        <v>49931.9</v>
      </c>
      <c r="L66" s="5">
        <f>SUM(+L67+L68)</f>
        <v>27872.1</v>
      </c>
      <c r="M66" s="5">
        <f>SUM(+M67+M68)</f>
        <v>77804</v>
      </c>
      <c r="N66" s="11"/>
      <c r="O66" s="13">
        <f>SUM(+O67+O68)</f>
        <v>0</v>
      </c>
      <c r="P66" s="12">
        <f>SUM(+P67+P68)</f>
        <v>77804</v>
      </c>
      <c r="Q66" s="11"/>
      <c r="R66" s="13">
        <f>SUM(+R67+R68)</f>
        <v>169752.9</v>
      </c>
      <c r="S66" s="12">
        <f>SUM(+S67+S68)</f>
        <v>247556.90000000002</v>
      </c>
      <c r="T66" s="75" t="s">
        <v>328</v>
      </c>
    </row>
    <row r="67" spans="1:20" ht="222" customHeight="1" hidden="1" outlineLevel="1">
      <c r="A67" s="1"/>
      <c r="B67" s="2"/>
      <c r="C67" s="3"/>
      <c r="D67" s="97" t="s">
        <v>88</v>
      </c>
      <c r="E67" s="98"/>
      <c r="F67" s="98"/>
      <c r="G67" s="99"/>
      <c r="H67" s="4" t="s">
        <v>26</v>
      </c>
      <c r="I67" s="4" t="s">
        <v>11</v>
      </c>
      <c r="J67" s="4" t="s">
        <v>10</v>
      </c>
      <c r="K67" s="5">
        <v>29694.7</v>
      </c>
      <c r="L67" s="5">
        <f>-447+21828.1+6341+150</f>
        <v>27872.1</v>
      </c>
      <c r="M67" s="5">
        <f>SUM(K67+L67)</f>
        <v>57566.8</v>
      </c>
      <c r="N67" s="11" t="s">
        <v>197</v>
      </c>
      <c r="O67" s="13"/>
      <c r="P67" s="12">
        <f>SUM(M67+O67)</f>
        <v>57566.8</v>
      </c>
      <c r="Q67" s="11"/>
      <c r="R67" s="13">
        <f>130323.3+24594.5+5335.1+9500</f>
        <v>169752.9</v>
      </c>
      <c r="S67" s="12">
        <f>SUM(P67+R67)</f>
        <v>227319.7</v>
      </c>
      <c r="T67" s="11" t="s">
        <v>324</v>
      </c>
    </row>
    <row r="68" spans="1:20" ht="45" customHeight="1" hidden="1" outlineLevel="1">
      <c r="A68" s="1"/>
      <c r="B68" s="2"/>
      <c r="C68" s="3"/>
      <c r="D68" s="100" t="s">
        <v>89</v>
      </c>
      <c r="E68" s="100"/>
      <c r="F68" s="100"/>
      <c r="G68" s="100"/>
      <c r="H68" s="4" t="s">
        <v>26</v>
      </c>
      <c r="I68" s="4" t="s">
        <v>11</v>
      </c>
      <c r="J68" s="4" t="s">
        <v>9</v>
      </c>
      <c r="K68" s="5">
        <v>20237.2</v>
      </c>
      <c r="L68" s="5"/>
      <c r="M68" s="5">
        <f>SUM(K68+L68)</f>
        <v>20237.2</v>
      </c>
      <c r="N68" s="11"/>
      <c r="O68" s="13"/>
      <c r="P68" s="12">
        <f>SUM(M68+O68)</f>
        <v>20237.2</v>
      </c>
      <c r="Q68" s="11"/>
      <c r="R68" s="13"/>
      <c r="S68" s="12">
        <f>SUM(P68+R68)</f>
        <v>20237.2</v>
      </c>
      <c r="T68" s="11"/>
    </row>
    <row r="69" spans="1:20" ht="119.25" customHeight="1" collapsed="1">
      <c r="A69" s="1"/>
      <c r="B69" s="44"/>
      <c r="C69" s="100" t="s">
        <v>90</v>
      </c>
      <c r="D69" s="100"/>
      <c r="E69" s="100"/>
      <c r="F69" s="100"/>
      <c r="G69" s="100"/>
      <c r="H69" s="4" t="s">
        <v>26</v>
      </c>
      <c r="I69" s="4" t="s">
        <v>23</v>
      </c>
      <c r="J69" s="4" t="s">
        <v>3</v>
      </c>
      <c r="K69" s="5">
        <f>K70</f>
        <v>24472</v>
      </c>
      <c r="L69" s="5">
        <f>SUM(L70)</f>
        <v>0</v>
      </c>
      <c r="M69" s="5">
        <f>SUM(M70)</f>
        <v>24472</v>
      </c>
      <c r="N69" s="11"/>
      <c r="O69" s="13">
        <f>SUM(O70)</f>
        <v>0</v>
      </c>
      <c r="P69" s="12">
        <f>SUM(P70)</f>
        <v>24472</v>
      </c>
      <c r="Q69" s="11"/>
      <c r="R69" s="13">
        <f>SUM(R70)</f>
        <v>-2219.2</v>
      </c>
      <c r="S69" s="12">
        <f>SUM(S70)</f>
        <v>22252.8</v>
      </c>
      <c r="T69" s="17" t="s">
        <v>269</v>
      </c>
    </row>
    <row r="70" spans="1:20" ht="108.75" customHeight="1" hidden="1" outlineLevel="1">
      <c r="A70" s="1"/>
      <c r="B70" s="2"/>
      <c r="C70" s="3"/>
      <c r="D70" s="100" t="s">
        <v>88</v>
      </c>
      <c r="E70" s="100"/>
      <c r="F70" s="100"/>
      <c r="G70" s="100"/>
      <c r="H70" s="4" t="s">
        <v>26</v>
      </c>
      <c r="I70" s="4" t="s">
        <v>23</v>
      </c>
      <c r="J70" s="4" t="s">
        <v>10</v>
      </c>
      <c r="K70" s="5">
        <v>24472</v>
      </c>
      <c r="L70" s="5"/>
      <c r="M70" s="5">
        <f>SUM(K70+L70)</f>
        <v>24472</v>
      </c>
      <c r="N70" s="11"/>
      <c r="O70" s="13"/>
      <c r="P70" s="12">
        <f>SUM(M70+O70)</f>
        <v>24472</v>
      </c>
      <c r="Q70" s="11"/>
      <c r="R70" s="13">
        <f>-991.2-1228</f>
        <v>-2219.2</v>
      </c>
      <c r="S70" s="12">
        <f>SUM(P70+R70)</f>
        <v>22252.8</v>
      </c>
      <c r="T70" s="11" t="s">
        <v>269</v>
      </c>
    </row>
    <row r="71" spans="1:20" ht="102" customHeight="1" collapsed="1">
      <c r="A71" s="1"/>
      <c r="B71" s="2"/>
      <c r="C71" s="52"/>
      <c r="D71" s="53"/>
      <c r="E71" s="53"/>
      <c r="F71" s="53"/>
      <c r="G71" s="53" t="s">
        <v>189</v>
      </c>
      <c r="H71" s="4">
        <v>11</v>
      </c>
      <c r="I71" s="4">
        <v>6</v>
      </c>
      <c r="J71" s="4"/>
      <c r="K71" s="5">
        <f>K72</f>
        <v>0</v>
      </c>
      <c r="L71" s="5">
        <f>L72</f>
        <v>6173</v>
      </c>
      <c r="M71" s="5">
        <f>M72</f>
        <v>6173</v>
      </c>
      <c r="N71" s="11"/>
      <c r="O71" s="13">
        <f>O72</f>
        <v>57750</v>
      </c>
      <c r="P71" s="12">
        <f>P72</f>
        <v>63923</v>
      </c>
      <c r="Q71" s="11"/>
      <c r="R71" s="13">
        <f>R72</f>
        <v>106544.2</v>
      </c>
      <c r="S71" s="12">
        <f>S72</f>
        <v>170467.2</v>
      </c>
      <c r="T71" s="11" t="s">
        <v>304</v>
      </c>
    </row>
    <row r="72" spans="1:20" ht="104.25" customHeight="1" hidden="1" outlineLevel="1">
      <c r="A72" s="1"/>
      <c r="B72" s="2"/>
      <c r="C72" s="52"/>
      <c r="D72" s="53"/>
      <c r="E72" s="53"/>
      <c r="F72" s="53"/>
      <c r="G72" s="21" t="s">
        <v>190</v>
      </c>
      <c r="H72" s="4">
        <v>11</v>
      </c>
      <c r="I72" s="4">
        <v>6</v>
      </c>
      <c r="J72" s="57" t="s">
        <v>10</v>
      </c>
      <c r="K72" s="5"/>
      <c r="L72" s="5">
        <f>5973+200</f>
        <v>6173</v>
      </c>
      <c r="M72" s="5">
        <f>K72+L72</f>
        <v>6173</v>
      </c>
      <c r="N72" s="11" t="s">
        <v>223</v>
      </c>
      <c r="O72" s="13">
        <v>57750</v>
      </c>
      <c r="P72" s="12">
        <f>M72+O72</f>
        <v>63923</v>
      </c>
      <c r="Q72" s="11" t="s">
        <v>207</v>
      </c>
      <c r="R72" s="13">
        <f>9871+22282.5+232+20158.7+54000</f>
        <v>106544.2</v>
      </c>
      <c r="S72" s="12">
        <f>P72+R72</f>
        <v>170467.2</v>
      </c>
      <c r="T72" s="11" t="s">
        <v>303</v>
      </c>
    </row>
    <row r="73" spans="1:20" ht="38.25" customHeight="1">
      <c r="A73" s="1"/>
      <c r="B73" s="101" t="s">
        <v>91</v>
      </c>
      <c r="C73" s="101"/>
      <c r="D73" s="101"/>
      <c r="E73" s="101"/>
      <c r="F73" s="101"/>
      <c r="G73" s="101"/>
      <c r="H73" s="47" t="s">
        <v>25</v>
      </c>
      <c r="I73" s="47" t="s">
        <v>3</v>
      </c>
      <c r="J73" s="47" t="s">
        <v>3</v>
      </c>
      <c r="K73" s="48">
        <f>K74</f>
        <v>25108</v>
      </c>
      <c r="L73" s="48">
        <f>SUM(L74)</f>
        <v>1271.1</v>
      </c>
      <c r="M73" s="48">
        <f>SUM(M74)</f>
        <v>26379.1</v>
      </c>
      <c r="N73" s="46"/>
      <c r="O73" s="49">
        <f>SUM(O74)</f>
        <v>1615.7</v>
      </c>
      <c r="P73" s="50">
        <f>SUM(P74)</f>
        <v>27994.8</v>
      </c>
      <c r="Q73" s="46"/>
      <c r="R73" s="49">
        <f>SUM(R74)</f>
        <v>708.2</v>
      </c>
      <c r="S73" s="50">
        <f>SUM(S74)</f>
        <v>28703</v>
      </c>
      <c r="T73" s="11"/>
    </row>
    <row r="74" spans="1:20" ht="42.75" customHeight="1" collapsed="1">
      <c r="A74" s="1"/>
      <c r="B74" s="44"/>
      <c r="C74" s="100" t="s">
        <v>91</v>
      </c>
      <c r="D74" s="100"/>
      <c r="E74" s="100"/>
      <c r="F74" s="100"/>
      <c r="G74" s="100"/>
      <c r="H74" s="4" t="s">
        <v>25</v>
      </c>
      <c r="I74" s="4" t="s">
        <v>1</v>
      </c>
      <c r="J74" s="4" t="s">
        <v>3</v>
      </c>
      <c r="K74" s="5">
        <f>K75+K76+K77</f>
        <v>25108</v>
      </c>
      <c r="L74" s="5">
        <f>SUM(L75+L76+L77)</f>
        <v>1271.1</v>
      </c>
      <c r="M74" s="5">
        <f>SUM(M75+M76+M77)</f>
        <v>26379.1</v>
      </c>
      <c r="N74" s="11"/>
      <c r="O74" s="13">
        <f>SUM(O75+O76+O77)</f>
        <v>1615.7</v>
      </c>
      <c r="P74" s="12">
        <f>SUM(P75+P76+P77)</f>
        <v>27994.8</v>
      </c>
      <c r="Q74" s="11"/>
      <c r="R74" s="13">
        <f>SUM(R75+R76+R77)</f>
        <v>708.2</v>
      </c>
      <c r="S74" s="12">
        <f>SUM(S75+S76+S77)</f>
        <v>28703</v>
      </c>
      <c r="T74" s="11" t="s">
        <v>291</v>
      </c>
    </row>
    <row r="75" spans="1:20" ht="87" customHeight="1" hidden="1" outlineLevel="1">
      <c r="A75" s="1"/>
      <c r="B75" s="2"/>
      <c r="C75" s="3"/>
      <c r="D75" s="100" t="s">
        <v>92</v>
      </c>
      <c r="E75" s="100"/>
      <c r="F75" s="100"/>
      <c r="G75" s="100"/>
      <c r="H75" s="4" t="s">
        <v>25</v>
      </c>
      <c r="I75" s="4" t="s">
        <v>1</v>
      </c>
      <c r="J75" s="4" t="s">
        <v>10</v>
      </c>
      <c r="K75" s="5">
        <v>6460</v>
      </c>
      <c r="L75" s="5"/>
      <c r="M75" s="5">
        <f>SUM(K75+L75)</f>
        <v>6460</v>
      </c>
      <c r="N75" s="11"/>
      <c r="O75" s="13">
        <f>170+900+25</f>
        <v>1095</v>
      </c>
      <c r="P75" s="12">
        <f>SUM(M75+O75)</f>
        <v>7555</v>
      </c>
      <c r="Q75" s="11" t="s">
        <v>235</v>
      </c>
      <c r="R75" s="13"/>
      <c r="S75" s="12">
        <f>SUM(P75+R75)</f>
        <v>7555</v>
      </c>
      <c r="T75" s="11"/>
    </row>
    <row r="76" spans="1:20" ht="40.5" customHeight="1" hidden="1" outlineLevel="1">
      <c r="A76" s="1"/>
      <c r="B76" s="2"/>
      <c r="C76" s="3"/>
      <c r="D76" s="97" t="s">
        <v>93</v>
      </c>
      <c r="E76" s="98"/>
      <c r="F76" s="98"/>
      <c r="G76" s="99"/>
      <c r="H76" s="4" t="s">
        <v>25</v>
      </c>
      <c r="I76" s="4" t="s">
        <v>1</v>
      </c>
      <c r="J76" s="4" t="s">
        <v>9</v>
      </c>
      <c r="K76" s="5">
        <v>16021.3</v>
      </c>
      <c r="L76" s="5">
        <v>1271.1</v>
      </c>
      <c r="M76" s="5">
        <f>SUM(K76+L76)</f>
        <v>17292.399999999998</v>
      </c>
      <c r="N76" s="11" t="s">
        <v>198</v>
      </c>
      <c r="O76" s="13">
        <v>520.7</v>
      </c>
      <c r="P76" s="12">
        <f>SUM(M76+O76)</f>
        <v>17813.1</v>
      </c>
      <c r="Q76" s="11" t="s">
        <v>210</v>
      </c>
      <c r="R76" s="13">
        <v>708.2</v>
      </c>
      <c r="S76" s="12">
        <f>SUM(P76+R76)</f>
        <v>18521.3</v>
      </c>
      <c r="T76" s="11" t="s">
        <v>267</v>
      </c>
    </row>
    <row r="77" spans="1:20" ht="22.5" customHeight="1" hidden="1" outlineLevel="1">
      <c r="A77" s="1"/>
      <c r="B77" s="2"/>
      <c r="C77" s="3"/>
      <c r="D77" s="100" t="s">
        <v>94</v>
      </c>
      <c r="E77" s="100"/>
      <c r="F77" s="100"/>
      <c r="G77" s="100"/>
      <c r="H77" s="4" t="s">
        <v>25</v>
      </c>
      <c r="I77" s="4" t="s">
        <v>1</v>
      </c>
      <c r="J77" s="4" t="s">
        <v>8</v>
      </c>
      <c r="K77" s="5">
        <v>2626.7</v>
      </c>
      <c r="L77" s="5"/>
      <c r="M77" s="5">
        <f>SUM(K77+L77)</f>
        <v>2626.7</v>
      </c>
      <c r="N77" s="11"/>
      <c r="O77" s="13"/>
      <c r="P77" s="12">
        <f>SUM(M77+O77)</f>
        <v>2626.7</v>
      </c>
      <c r="Q77" s="11"/>
      <c r="R77" s="13"/>
      <c r="S77" s="12">
        <f>SUM(P77+R77)</f>
        <v>2626.7</v>
      </c>
      <c r="T77" s="11"/>
    </row>
    <row r="78" spans="1:20" ht="39" customHeight="1">
      <c r="A78" s="1"/>
      <c r="B78" s="101" t="s">
        <v>95</v>
      </c>
      <c r="C78" s="101"/>
      <c r="D78" s="101"/>
      <c r="E78" s="101"/>
      <c r="F78" s="101"/>
      <c r="G78" s="101"/>
      <c r="H78" s="47" t="s">
        <v>24</v>
      </c>
      <c r="I78" s="47" t="s">
        <v>3</v>
      </c>
      <c r="J78" s="47" t="s">
        <v>3</v>
      </c>
      <c r="K78" s="48">
        <f>K79+K82+K84</f>
        <v>271194.4</v>
      </c>
      <c r="L78" s="48">
        <f>SUM(L79+L82+L84)</f>
        <v>52600</v>
      </c>
      <c r="M78" s="48">
        <f>SUM(M79+M82+M84)</f>
        <v>323794.4</v>
      </c>
      <c r="N78" s="46"/>
      <c r="O78" s="49">
        <f>SUM(O79+O82+O84)</f>
        <v>-6339.000000000001</v>
      </c>
      <c r="P78" s="50">
        <f>SUM(P79+P82+P84)</f>
        <v>317455.4</v>
      </c>
      <c r="Q78" s="46"/>
      <c r="R78" s="49">
        <f>SUM(R79+R82+R84)</f>
        <v>134115</v>
      </c>
      <c r="S78" s="50">
        <f>SUM(S79+S82+S84)</f>
        <v>451570.4</v>
      </c>
      <c r="T78" s="11"/>
    </row>
    <row r="79" spans="1:20" ht="191.25" customHeight="1" collapsed="1">
      <c r="A79" s="1"/>
      <c r="B79" s="44"/>
      <c r="C79" s="100" t="s">
        <v>96</v>
      </c>
      <c r="D79" s="100"/>
      <c r="E79" s="100"/>
      <c r="F79" s="100"/>
      <c r="G79" s="100"/>
      <c r="H79" s="4" t="s">
        <v>24</v>
      </c>
      <c r="I79" s="4" t="s">
        <v>14</v>
      </c>
      <c r="J79" s="4" t="s">
        <v>3</v>
      </c>
      <c r="K79" s="5">
        <f>K80+K81</f>
        <v>117824.7</v>
      </c>
      <c r="L79" s="5">
        <f>SUM(L80+L81)</f>
        <v>52496.8</v>
      </c>
      <c r="M79" s="5">
        <f>SUM(M80+M81)</f>
        <v>170321.5</v>
      </c>
      <c r="N79" s="11"/>
      <c r="O79" s="13">
        <f>SUM(O80+O81)</f>
        <v>-6339.000000000001</v>
      </c>
      <c r="P79" s="12">
        <f>SUM(P80+P81)</f>
        <v>163982.5</v>
      </c>
      <c r="Q79" s="11"/>
      <c r="R79" s="13">
        <f>SUM(R80+R81)</f>
        <v>135396.6</v>
      </c>
      <c r="S79" s="12">
        <f>SUM(S80+S81)</f>
        <v>299379.1</v>
      </c>
      <c r="T79" s="11" t="s">
        <v>297</v>
      </c>
    </row>
    <row r="80" spans="1:20" ht="145.5" customHeight="1" hidden="1" outlineLevel="1">
      <c r="A80" s="1"/>
      <c r="B80" s="2"/>
      <c r="C80" s="3"/>
      <c r="D80" s="97" t="s">
        <v>97</v>
      </c>
      <c r="E80" s="98"/>
      <c r="F80" s="98"/>
      <c r="G80" s="99"/>
      <c r="H80" s="4" t="s">
        <v>24</v>
      </c>
      <c r="I80" s="4" t="s">
        <v>14</v>
      </c>
      <c r="J80" s="4" t="s">
        <v>10</v>
      </c>
      <c r="K80" s="5">
        <v>110324.7</v>
      </c>
      <c r="L80" s="5">
        <f>13000-103.2+2600+37000</f>
        <v>52496.8</v>
      </c>
      <c r="M80" s="6">
        <f>SUM(K80+L80)</f>
        <v>162821.5</v>
      </c>
      <c r="N80" s="11" t="s">
        <v>199</v>
      </c>
      <c r="O80" s="13">
        <f>-12762.2+6423.2</f>
        <v>-6339.000000000001</v>
      </c>
      <c r="P80" s="12">
        <f>SUM(M80+O80)</f>
        <v>156482.5</v>
      </c>
      <c r="Q80" s="11" t="s">
        <v>232</v>
      </c>
      <c r="R80" s="13">
        <v>135096.6</v>
      </c>
      <c r="S80" s="12">
        <f>SUM(P80+R80)</f>
        <v>291579.1</v>
      </c>
      <c r="T80" s="58" t="s">
        <v>272</v>
      </c>
    </row>
    <row r="81" spans="1:20" ht="40.5" customHeight="1" hidden="1" outlineLevel="1">
      <c r="A81" s="1"/>
      <c r="B81" s="2"/>
      <c r="C81" s="3"/>
      <c r="D81" s="100" t="s">
        <v>98</v>
      </c>
      <c r="E81" s="100"/>
      <c r="F81" s="100"/>
      <c r="G81" s="100"/>
      <c r="H81" s="4" t="s">
        <v>24</v>
      </c>
      <c r="I81" s="4" t="s">
        <v>14</v>
      </c>
      <c r="J81" s="4" t="s">
        <v>9</v>
      </c>
      <c r="K81" s="5">
        <v>7500</v>
      </c>
      <c r="L81" s="5"/>
      <c r="M81" s="6">
        <f>SUM(K81+L81)</f>
        <v>7500</v>
      </c>
      <c r="N81" s="11"/>
      <c r="O81" s="13"/>
      <c r="P81" s="12">
        <f>SUM(M81+O81)</f>
        <v>7500</v>
      </c>
      <c r="Q81" s="11"/>
      <c r="R81" s="13">
        <v>300</v>
      </c>
      <c r="S81" s="12">
        <f>SUM(P81+R81)</f>
        <v>7800</v>
      </c>
      <c r="T81" s="11" t="s">
        <v>270</v>
      </c>
    </row>
    <row r="82" spans="1:20" ht="22.5" customHeight="1" collapsed="1">
      <c r="A82" s="1"/>
      <c r="B82" s="44"/>
      <c r="C82" s="100" t="s">
        <v>99</v>
      </c>
      <c r="D82" s="100"/>
      <c r="E82" s="100"/>
      <c r="F82" s="100"/>
      <c r="G82" s="100"/>
      <c r="H82" s="4" t="s">
        <v>24</v>
      </c>
      <c r="I82" s="4" t="s">
        <v>13</v>
      </c>
      <c r="J82" s="4" t="s">
        <v>3</v>
      </c>
      <c r="K82" s="5">
        <f>K83</f>
        <v>148369.7</v>
      </c>
      <c r="L82" s="5">
        <f>SUM(L83)</f>
        <v>103.2</v>
      </c>
      <c r="M82" s="5">
        <f>SUM(M83)</f>
        <v>148472.90000000002</v>
      </c>
      <c r="N82" s="11"/>
      <c r="O82" s="13">
        <f>SUM(O83)</f>
        <v>0</v>
      </c>
      <c r="P82" s="12">
        <f>SUM(P83)</f>
        <v>148472.90000000002</v>
      </c>
      <c r="Q82" s="11"/>
      <c r="R82" s="13">
        <f>SUM(R83)</f>
        <v>0</v>
      </c>
      <c r="S82" s="12">
        <f>SUM(S83)</f>
        <v>148472.90000000002</v>
      </c>
      <c r="T82" s="11"/>
    </row>
    <row r="83" spans="1:20" ht="30.75" customHeight="1" hidden="1" outlineLevel="1">
      <c r="A83" s="1"/>
      <c r="B83" s="2"/>
      <c r="C83" s="3"/>
      <c r="D83" s="97" t="s">
        <v>100</v>
      </c>
      <c r="E83" s="98"/>
      <c r="F83" s="98"/>
      <c r="G83" s="99"/>
      <c r="H83" s="4" t="s">
        <v>24</v>
      </c>
      <c r="I83" s="4" t="s">
        <v>13</v>
      </c>
      <c r="J83" s="4" t="s">
        <v>10</v>
      </c>
      <c r="K83" s="5">
        <v>148369.7</v>
      </c>
      <c r="L83" s="5">
        <v>103.2</v>
      </c>
      <c r="M83" s="6">
        <f>SUM(K83+L83)</f>
        <v>148472.90000000002</v>
      </c>
      <c r="N83" s="11" t="s">
        <v>187</v>
      </c>
      <c r="O83" s="13"/>
      <c r="P83" s="12">
        <f>SUM(M83+O83)</f>
        <v>148472.90000000002</v>
      </c>
      <c r="Q83" s="11"/>
      <c r="R83" s="13"/>
      <c r="S83" s="12">
        <f>SUM(P83+R83)</f>
        <v>148472.90000000002</v>
      </c>
      <c r="T83" s="11"/>
    </row>
    <row r="84" spans="1:20" ht="56.25" customHeight="1" collapsed="1">
      <c r="A84" s="1"/>
      <c r="B84" s="44"/>
      <c r="C84" s="100" t="s">
        <v>101</v>
      </c>
      <c r="D84" s="100"/>
      <c r="E84" s="100"/>
      <c r="F84" s="100"/>
      <c r="G84" s="100"/>
      <c r="H84" s="4" t="s">
        <v>24</v>
      </c>
      <c r="I84" s="4" t="s">
        <v>11</v>
      </c>
      <c r="J84" s="4" t="s">
        <v>3</v>
      </c>
      <c r="K84" s="5">
        <f>K85</f>
        <v>5000</v>
      </c>
      <c r="L84" s="5">
        <f>SUM(L85)</f>
        <v>0</v>
      </c>
      <c r="M84" s="5">
        <f>SUM(M85)</f>
        <v>5000</v>
      </c>
      <c r="N84" s="11"/>
      <c r="O84" s="13">
        <f>SUM(O85)</f>
        <v>0</v>
      </c>
      <c r="P84" s="12">
        <f>SUM(P85)</f>
        <v>5000</v>
      </c>
      <c r="Q84" s="11"/>
      <c r="R84" s="13">
        <f>SUM(R85)</f>
        <v>-1281.6</v>
      </c>
      <c r="S84" s="12">
        <f>SUM(S85)</f>
        <v>3718.4</v>
      </c>
      <c r="T84" s="11" t="s">
        <v>271</v>
      </c>
    </row>
    <row r="85" spans="1:20" ht="40.5" customHeight="1" hidden="1" outlineLevel="1">
      <c r="A85" s="1"/>
      <c r="B85" s="2"/>
      <c r="C85" s="3"/>
      <c r="D85" s="100" t="s">
        <v>102</v>
      </c>
      <c r="E85" s="100"/>
      <c r="F85" s="100"/>
      <c r="G85" s="100"/>
      <c r="H85" s="4" t="s">
        <v>24</v>
      </c>
      <c r="I85" s="4" t="s">
        <v>11</v>
      </c>
      <c r="J85" s="4" t="s">
        <v>10</v>
      </c>
      <c r="K85" s="5">
        <v>5000</v>
      </c>
      <c r="L85" s="5"/>
      <c r="M85" s="6">
        <f>SUM(K85+L85)</f>
        <v>5000</v>
      </c>
      <c r="N85" s="11"/>
      <c r="O85" s="13"/>
      <c r="P85" s="12">
        <f>SUM(M85+O85)</f>
        <v>5000</v>
      </c>
      <c r="Q85" s="11"/>
      <c r="R85" s="13">
        <v>-1281.6</v>
      </c>
      <c r="S85" s="12">
        <f>SUM(P85+R85)</f>
        <v>3718.4</v>
      </c>
      <c r="T85" s="11" t="s">
        <v>271</v>
      </c>
    </row>
    <row r="86" spans="1:20" ht="49.5" customHeight="1">
      <c r="A86" s="1"/>
      <c r="B86" s="101" t="s">
        <v>103</v>
      </c>
      <c r="C86" s="101"/>
      <c r="D86" s="101"/>
      <c r="E86" s="101"/>
      <c r="F86" s="101"/>
      <c r="G86" s="101"/>
      <c r="H86" s="47" t="s">
        <v>22</v>
      </c>
      <c r="I86" s="47" t="s">
        <v>3</v>
      </c>
      <c r="J86" s="47" t="s">
        <v>3</v>
      </c>
      <c r="K86" s="48">
        <f>K87+K92+K97+K99+K101</f>
        <v>87947.5</v>
      </c>
      <c r="L86" s="48">
        <f>SUM(L87+L92+L97+L99+L101)</f>
        <v>8612.800000000001</v>
      </c>
      <c r="M86" s="48">
        <f>SUM(M87+M92+M97+M99+M101)</f>
        <v>96560.30000000002</v>
      </c>
      <c r="N86" s="46"/>
      <c r="O86" s="49">
        <f>SUM(O87+O92+O97+O99+O101)</f>
        <v>20891.3</v>
      </c>
      <c r="P86" s="50">
        <f>SUM(P87+P92+P97+P99+P101)</f>
        <v>117451.6</v>
      </c>
      <c r="Q86" s="46"/>
      <c r="R86" s="49">
        <f>SUM(R87+R92+R97+R99+R101)</f>
        <v>16847.699999999997</v>
      </c>
      <c r="S86" s="50">
        <f>SUM(S87+S92+S97+S99+S101)</f>
        <v>134299.3</v>
      </c>
      <c r="T86" s="11"/>
    </row>
    <row r="87" spans="1:20" ht="248.25" customHeight="1" collapsed="1">
      <c r="A87" s="1"/>
      <c r="B87" s="44"/>
      <c r="C87" s="100" t="s">
        <v>104</v>
      </c>
      <c r="D87" s="100"/>
      <c r="E87" s="100"/>
      <c r="F87" s="100"/>
      <c r="G87" s="100"/>
      <c r="H87" s="4" t="s">
        <v>22</v>
      </c>
      <c r="I87" s="4" t="s">
        <v>14</v>
      </c>
      <c r="J87" s="4" t="s">
        <v>3</v>
      </c>
      <c r="K87" s="5">
        <f>K88+K89</f>
        <v>48816.8</v>
      </c>
      <c r="L87" s="5">
        <f>SUM(L88+L89+L90)</f>
        <v>3609.4</v>
      </c>
      <c r="M87" s="5">
        <f>SUM(M88+M89+M90)</f>
        <v>52426.200000000004</v>
      </c>
      <c r="N87" s="11"/>
      <c r="O87" s="13">
        <f>SUM(O88+O89+O90+O91)</f>
        <v>17302.1</v>
      </c>
      <c r="P87" s="13">
        <f>SUM(P88+P89+P90+P91)</f>
        <v>69728.3</v>
      </c>
      <c r="Q87" s="11"/>
      <c r="R87" s="13">
        <f>SUM(R88+R89+R90+R91)</f>
        <v>319.7999999999999</v>
      </c>
      <c r="S87" s="13">
        <f>SUM(S88+S89+S90+S91)</f>
        <v>70048.09999999999</v>
      </c>
      <c r="T87" s="11" t="s">
        <v>317</v>
      </c>
    </row>
    <row r="88" spans="1:20" ht="22.5" customHeight="1" hidden="1" outlineLevel="1">
      <c r="A88" s="1"/>
      <c r="B88" s="2"/>
      <c r="C88" s="3"/>
      <c r="D88" s="100" t="s">
        <v>105</v>
      </c>
      <c r="E88" s="100"/>
      <c r="F88" s="100"/>
      <c r="G88" s="100"/>
      <c r="H88" s="4" t="s">
        <v>22</v>
      </c>
      <c r="I88" s="4" t="s">
        <v>14</v>
      </c>
      <c r="J88" s="4" t="s">
        <v>10</v>
      </c>
      <c r="K88" s="5">
        <v>4026.3</v>
      </c>
      <c r="L88" s="5"/>
      <c r="M88" s="6">
        <f>SUM(K88+L88)</f>
        <v>4026.3</v>
      </c>
      <c r="N88" s="11"/>
      <c r="O88" s="13">
        <v>-2.4</v>
      </c>
      <c r="P88" s="12">
        <f>SUM(M88+O88)</f>
        <v>4023.9</v>
      </c>
      <c r="Q88" s="11" t="s">
        <v>241</v>
      </c>
      <c r="R88" s="13"/>
      <c r="S88" s="12">
        <f>SUM(P88+R88)</f>
        <v>4023.9</v>
      </c>
      <c r="T88" s="11"/>
    </row>
    <row r="89" spans="1:20" ht="136.5" customHeight="1" hidden="1" outlineLevel="1">
      <c r="A89" s="1"/>
      <c r="B89" s="2"/>
      <c r="C89" s="3"/>
      <c r="D89" s="97" t="s">
        <v>106</v>
      </c>
      <c r="E89" s="98"/>
      <c r="F89" s="98"/>
      <c r="G89" s="99"/>
      <c r="H89" s="4" t="s">
        <v>22</v>
      </c>
      <c r="I89" s="4" t="s">
        <v>14</v>
      </c>
      <c r="J89" s="4" t="s">
        <v>9</v>
      </c>
      <c r="K89" s="5">
        <v>44790.5</v>
      </c>
      <c r="L89" s="5">
        <f>282.4+3227</f>
        <v>3509.4</v>
      </c>
      <c r="M89" s="5">
        <f>SUM(K89+L89)</f>
        <v>48299.9</v>
      </c>
      <c r="N89" s="11" t="s">
        <v>200</v>
      </c>
      <c r="O89" s="13">
        <f>-1599.9+2823.9</f>
        <v>1224</v>
      </c>
      <c r="P89" s="12">
        <f>SUM(M89+O89)</f>
        <v>49523.9</v>
      </c>
      <c r="Q89" s="11" t="s">
        <v>252</v>
      </c>
      <c r="R89" s="13">
        <f>-234.8+100</f>
        <v>-134.8</v>
      </c>
      <c r="S89" s="12">
        <f>SUM(P89+R89)</f>
        <v>49389.1</v>
      </c>
      <c r="T89" s="11" t="s">
        <v>316</v>
      </c>
    </row>
    <row r="90" spans="1:20" ht="50.25" customHeight="1" hidden="1" outlineLevel="1">
      <c r="A90" s="1"/>
      <c r="B90" s="44"/>
      <c r="C90" s="3"/>
      <c r="D90" s="59"/>
      <c r="E90" s="59"/>
      <c r="F90" s="59"/>
      <c r="G90" s="18" t="s">
        <v>173</v>
      </c>
      <c r="H90" s="4" t="s">
        <v>22</v>
      </c>
      <c r="I90" s="4" t="s">
        <v>14</v>
      </c>
      <c r="J90" s="57" t="s">
        <v>8</v>
      </c>
      <c r="K90" s="5">
        <v>0</v>
      </c>
      <c r="L90" s="5">
        <v>100</v>
      </c>
      <c r="M90" s="5">
        <f>SUM(K90+L90)</f>
        <v>100</v>
      </c>
      <c r="N90" s="11" t="s">
        <v>180</v>
      </c>
      <c r="O90" s="13">
        <v>-19.3</v>
      </c>
      <c r="P90" s="12">
        <f>SUM(M90+O90)</f>
        <v>80.7</v>
      </c>
      <c r="Q90" s="11" t="s">
        <v>240</v>
      </c>
      <c r="R90" s="13"/>
      <c r="S90" s="12">
        <f>SUM(P90+R90)</f>
        <v>80.7</v>
      </c>
      <c r="T90" s="11"/>
    </row>
    <row r="91" spans="1:20" ht="190.5" customHeight="1" hidden="1" outlineLevel="1">
      <c r="A91" s="1"/>
      <c r="B91" s="44"/>
      <c r="C91" s="3"/>
      <c r="D91" s="59"/>
      <c r="E91" s="59"/>
      <c r="F91" s="59"/>
      <c r="G91" s="18" t="s">
        <v>209</v>
      </c>
      <c r="H91" s="4">
        <v>14</v>
      </c>
      <c r="I91" s="4">
        <v>1</v>
      </c>
      <c r="J91" s="57" t="s">
        <v>7</v>
      </c>
      <c r="K91" s="5"/>
      <c r="L91" s="5"/>
      <c r="M91" s="5"/>
      <c r="N91" s="11"/>
      <c r="O91" s="13">
        <f>14399.9+1599.9+100</f>
        <v>16099.8</v>
      </c>
      <c r="P91" s="12">
        <f>SUM(M91+O91)</f>
        <v>16099.8</v>
      </c>
      <c r="Q91" s="11" t="s">
        <v>253</v>
      </c>
      <c r="R91" s="13">
        <f>2822.4-2367.8</f>
        <v>454.5999999999999</v>
      </c>
      <c r="S91" s="12">
        <f>SUM(P91+R91)</f>
        <v>16554.399999999998</v>
      </c>
      <c r="T91" s="11" t="s">
        <v>278</v>
      </c>
    </row>
    <row r="92" spans="1:20" ht="196.5" customHeight="1" collapsed="1">
      <c r="A92" s="1"/>
      <c r="B92" s="44"/>
      <c r="C92" s="100" t="s">
        <v>107</v>
      </c>
      <c r="D92" s="100"/>
      <c r="E92" s="100"/>
      <c r="F92" s="100"/>
      <c r="G92" s="100"/>
      <c r="H92" s="4" t="s">
        <v>22</v>
      </c>
      <c r="I92" s="4" t="s">
        <v>13</v>
      </c>
      <c r="J92" s="4" t="s">
        <v>3</v>
      </c>
      <c r="K92" s="5">
        <f>K93+K94+K95+K96</f>
        <v>34330.700000000004</v>
      </c>
      <c r="L92" s="5">
        <f>SUM(L93+L94+L95)</f>
        <v>5003.400000000001</v>
      </c>
      <c r="M92" s="5">
        <f>SUM(M93+M94+M95)</f>
        <v>39334.100000000006</v>
      </c>
      <c r="N92" s="11"/>
      <c r="O92" s="13">
        <f>SUM(O93+O94+O95)</f>
        <v>2000</v>
      </c>
      <c r="P92" s="12">
        <f>SUM(P93+P94+P95)</f>
        <v>41334.100000000006</v>
      </c>
      <c r="Q92" s="11"/>
      <c r="R92" s="13">
        <f>SUM(R93+R94+R95)</f>
        <v>16495.6</v>
      </c>
      <c r="S92" s="12">
        <f>SUM(S93+S94+S95)</f>
        <v>57829.700000000004</v>
      </c>
      <c r="T92" s="11" t="s">
        <v>293</v>
      </c>
    </row>
    <row r="93" spans="1:20" ht="157.5" customHeight="1" hidden="1" outlineLevel="1">
      <c r="A93" s="1"/>
      <c r="B93" s="2"/>
      <c r="C93" s="3"/>
      <c r="D93" s="97" t="s">
        <v>108</v>
      </c>
      <c r="E93" s="98"/>
      <c r="F93" s="98"/>
      <c r="G93" s="99"/>
      <c r="H93" s="4" t="s">
        <v>22</v>
      </c>
      <c r="I93" s="4" t="s">
        <v>13</v>
      </c>
      <c r="J93" s="4" t="s">
        <v>10</v>
      </c>
      <c r="K93" s="5">
        <v>22079.9</v>
      </c>
      <c r="L93" s="5">
        <f>292.6+4360.8+350</f>
        <v>5003.400000000001</v>
      </c>
      <c r="M93" s="5">
        <f>SUM(K93+L93)</f>
        <v>27083.300000000003</v>
      </c>
      <c r="N93" s="11" t="s">
        <v>191</v>
      </c>
      <c r="O93" s="13"/>
      <c r="P93" s="12">
        <f>SUM(M93+O93)</f>
        <v>27083.300000000003</v>
      </c>
      <c r="Q93" s="11"/>
      <c r="R93" s="13">
        <v>14020.6</v>
      </c>
      <c r="S93" s="12">
        <f>SUM(P93+R93)</f>
        <v>41103.9</v>
      </c>
      <c r="T93" s="11" t="s">
        <v>279</v>
      </c>
    </row>
    <row r="94" spans="1:20" ht="45.75" customHeight="1" hidden="1" outlineLevel="1">
      <c r="A94" s="1"/>
      <c r="B94" s="2"/>
      <c r="C94" s="3"/>
      <c r="D94" s="100" t="s">
        <v>109</v>
      </c>
      <c r="E94" s="100"/>
      <c r="F94" s="100"/>
      <c r="G94" s="100"/>
      <c r="H94" s="4" t="s">
        <v>22</v>
      </c>
      <c r="I94" s="4" t="s">
        <v>13</v>
      </c>
      <c r="J94" s="4" t="s">
        <v>9</v>
      </c>
      <c r="K94" s="5">
        <v>4700</v>
      </c>
      <c r="L94" s="5"/>
      <c r="M94" s="5">
        <f>SUM(K94+L94)</f>
        <v>4700</v>
      </c>
      <c r="N94" s="11"/>
      <c r="O94" s="13">
        <v>2000</v>
      </c>
      <c r="P94" s="12">
        <f>SUM(M94+O94)</f>
        <v>6700</v>
      </c>
      <c r="Q94" s="11" t="s">
        <v>217</v>
      </c>
      <c r="R94" s="13">
        <v>2475</v>
      </c>
      <c r="S94" s="12">
        <f>SUM(P94+R94)</f>
        <v>9175</v>
      </c>
      <c r="T94" s="11" t="s">
        <v>292</v>
      </c>
    </row>
    <row r="95" spans="1:20" ht="45" customHeight="1" hidden="1" outlineLevel="1">
      <c r="A95" s="1"/>
      <c r="B95" s="2"/>
      <c r="C95" s="3"/>
      <c r="D95" s="100" t="s">
        <v>110</v>
      </c>
      <c r="E95" s="100"/>
      <c r="F95" s="100"/>
      <c r="G95" s="100"/>
      <c r="H95" s="4" t="s">
        <v>22</v>
      </c>
      <c r="I95" s="4" t="s">
        <v>13</v>
      </c>
      <c r="J95" s="4" t="s">
        <v>8</v>
      </c>
      <c r="K95" s="5">
        <v>7550.8</v>
      </c>
      <c r="L95" s="5"/>
      <c r="M95" s="5">
        <f>SUM(K95+L95)</f>
        <v>7550.8</v>
      </c>
      <c r="N95" s="11"/>
      <c r="O95" s="13"/>
      <c r="P95" s="12">
        <f>SUM(M95+O95)</f>
        <v>7550.8</v>
      </c>
      <c r="Q95" s="11"/>
      <c r="R95" s="13"/>
      <c r="S95" s="12">
        <f>SUM(P95+R95)</f>
        <v>7550.8</v>
      </c>
      <c r="T95" s="11" t="s">
        <v>280</v>
      </c>
    </row>
    <row r="96" spans="1:20" ht="19.5" customHeight="1" hidden="1" outlineLevel="1">
      <c r="A96" s="1"/>
      <c r="B96" s="2"/>
      <c r="C96" s="3"/>
      <c r="D96" s="100" t="s">
        <v>111</v>
      </c>
      <c r="E96" s="100"/>
      <c r="F96" s="100"/>
      <c r="G96" s="100"/>
      <c r="H96" s="4" t="s">
        <v>22</v>
      </c>
      <c r="I96" s="4" t="s">
        <v>13</v>
      </c>
      <c r="J96" s="4" t="s">
        <v>7</v>
      </c>
      <c r="K96" s="5">
        <v>0</v>
      </c>
      <c r="L96" s="5"/>
      <c r="M96" s="5">
        <f>SUM(K96+L96)</f>
        <v>0</v>
      </c>
      <c r="N96" s="11"/>
      <c r="O96" s="13"/>
      <c r="P96" s="12">
        <f>SUM(M96+O96)</f>
        <v>0</v>
      </c>
      <c r="Q96" s="11"/>
      <c r="R96" s="13"/>
      <c r="S96" s="12">
        <f>SUM(P96+R96)</f>
        <v>0</v>
      </c>
      <c r="T96" s="11"/>
    </row>
    <row r="97" spans="1:20" ht="22.5" customHeight="1">
      <c r="A97" s="1"/>
      <c r="B97" s="44"/>
      <c r="C97" s="100" t="s">
        <v>112</v>
      </c>
      <c r="D97" s="100"/>
      <c r="E97" s="100"/>
      <c r="F97" s="100"/>
      <c r="G97" s="100"/>
      <c r="H97" s="4" t="s">
        <v>22</v>
      </c>
      <c r="I97" s="4" t="s">
        <v>11</v>
      </c>
      <c r="J97" s="4" t="s">
        <v>3</v>
      </c>
      <c r="K97" s="5">
        <f>K98</f>
        <v>100</v>
      </c>
      <c r="L97" s="5">
        <f>SUM(L98)</f>
        <v>0</v>
      </c>
      <c r="M97" s="5">
        <v>100</v>
      </c>
      <c r="N97" s="11"/>
      <c r="O97" s="13">
        <f>SUM(O98)</f>
        <v>0</v>
      </c>
      <c r="P97" s="12">
        <f>SUM(P98)</f>
        <v>100</v>
      </c>
      <c r="Q97" s="11"/>
      <c r="R97" s="13">
        <f>SUM(R98)</f>
        <v>0</v>
      </c>
      <c r="S97" s="12">
        <f>SUM(S98)</f>
        <v>100</v>
      </c>
      <c r="T97" s="11"/>
    </row>
    <row r="98" spans="1:20" ht="12.75" customHeight="1" hidden="1">
      <c r="A98" s="1"/>
      <c r="B98" s="2"/>
      <c r="C98" s="3"/>
      <c r="D98" s="100" t="s">
        <v>113</v>
      </c>
      <c r="E98" s="100"/>
      <c r="F98" s="100"/>
      <c r="G98" s="100"/>
      <c r="H98" s="4" t="s">
        <v>22</v>
      </c>
      <c r="I98" s="4" t="s">
        <v>11</v>
      </c>
      <c r="J98" s="4" t="s">
        <v>10</v>
      </c>
      <c r="K98" s="5">
        <v>100</v>
      </c>
      <c r="L98" s="5"/>
      <c r="M98" s="5">
        <f>SUM(K98+L98)</f>
        <v>100</v>
      </c>
      <c r="N98" s="11"/>
      <c r="O98" s="13"/>
      <c r="P98" s="12">
        <f>SUM(M98+O98)</f>
        <v>100</v>
      </c>
      <c r="Q98" s="11"/>
      <c r="R98" s="13"/>
      <c r="S98" s="12">
        <f>SUM(P98+R98)</f>
        <v>100</v>
      </c>
      <c r="T98" s="11"/>
    </row>
    <row r="99" spans="1:20" ht="88.5" customHeight="1" collapsed="1">
      <c r="A99" s="1"/>
      <c r="B99" s="44"/>
      <c r="C99" s="100" t="s">
        <v>114</v>
      </c>
      <c r="D99" s="100"/>
      <c r="E99" s="100"/>
      <c r="F99" s="100"/>
      <c r="G99" s="100"/>
      <c r="H99" s="4" t="s">
        <v>22</v>
      </c>
      <c r="I99" s="4" t="s">
        <v>23</v>
      </c>
      <c r="J99" s="4" t="s">
        <v>3</v>
      </c>
      <c r="K99" s="5">
        <f>K100</f>
        <v>3000</v>
      </c>
      <c r="L99" s="5">
        <f>SUM(L100)</f>
        <v>0</v>
      </c>
      <c r="M99" s="5">
        <v>3000</v>
      </c>
      <c r="N99" s="11"/>
      <c r="O99" s="13">
        <f>SUM(O100)</f>
        <v>1589.2</v>
      </c>
      <c r="P99" s="12">
        <f>SUM(P100)</f>
        <v>4589.2</v>
      </c>
      <c r="Q99" s="11"/>
      <c r="R99" s="13">
        <f>SUM(R100)</f>
        <v>32.3</v>
      </c>
      <c r="S99" s="12">
        <f>SUM(S100)</f>
        <v>4621.5</v>
      </c>
      <c r="T99" s="11" t="s">
        <v>281</v>
      </c>
    </row>
    <row r="100" spans="1:20" ht="87.75" customHeight="1" hidden="1" outlineLevel="1">
      <c r="A100" s="1"/>
      <c r="B100" s="2"/>
      <c r="C100" s="3"/>
      <c r="D100" s="100" t="s">
        <v>115</v>
      </c>
      <c r="E100" s="100"/>
      <c r="F100" s="100"/>
      <c r="G100" s="100"/>
      <c r="H100" s="4" t="s">
        <v>22</v>
      </c>
      <c r="I100" s="4" t="s">
        <v>23</v>
      </c>
      <c r="J100" s="4" t="s">
        <v>10</v>
      </c>
      <c r="K100" s="5">
        <v>3000</v>
      </c>
      <c r="L100" s="5"/>
      <c r="M100" s="5">
        <f>SUM(K100+L100)</f>
        <v>3000</v>
      </c>
      <c r="N100" s="11"/>
      <c r="O100" s="13">
        <f>323+1266.2</f>
        <v>1589.2</v>
      </c>
      <c r="P100" s="12">
        <f>SUM(M100+O100)</f>
        <v>4589.2</v>
      </c>
      <c r="Q100" s="11" t="s">
        <v>231</v>
      </c>
      <c r="R100" s="13">
        <v>32.3</v>
      </c>
      <c r="S100" s="12">
        <f>SUM(P100+R100)</f>
        <v>4621.5</v>
      </c>
      <c r="T100" s="11" t="s">
        <v>281</v>
      </c>
    </row>
    <row r="101" spans="1:20" ht="22.5" customHeight="1" collapsed="1">
      <c r="A101" s="1"/>
      <c r="B101" s="44"/>
      <c r="C101" s="100" t="s">
        <v>116</v>
      </c>
      <c r="D101" s="100"/>
      <c r="E101" s="100"/>
      <c r="F101" s="100"/>
      <c r="G101" s="100"/>
      <c r="H101" s="4" t="s">
        <v>22</v>
      </c>
      <c r="I101" s="4" t="s">
        <v>21</v>
      </c>
      <c r="J101" s="4" t="s">
        <v>3</v>
      </c>
      <c r="K101" s="5">
        <f>K102</f>
        <v>1700</v>
      </c>
      <c r="L101" s="5">
        <f>SUM(L102)</f>
        <v>0</v>
      </c>
      <c r="M101" s="5">
        <v>1700</v>
      </c>
      <c r="N101" s="11"/>
      <c r="O101" s="13">
        <f>SUM(O102)</f>
        <v>0</v>
      </c>
      <c r="P101" s="12">
        <f>SUM(P102)</f>
        <v>1700</v>
      </c>
      <c r="Q101" s="11"/>
      <c r="R101" s="13">
        <f>SUM(R102)</f>
        <v>0</v>
      </c>
      <c r="S101" s="12">
        <f>SUM(S102)</f>
        <v>1700</v>
      </c>
      <c r="T101" s="11"/>
    </row>
    <row r="102" spans="1:20" ht="22.5" customHeight="1" hidden="1" outlineLevel="1">
      <c r="A102" s="1"/>
      <c r="B102" s="2"/>
      <c r="C102" s="3"/>
      <c r="D102" s="100" t="s">
        <v>117</v>
      </c>
      <c r="E102" s="100"/>
      <c r="F102" s="100"/>
      <c r="G102" s="100"/>
      <c r="H102" s="4" t="s">
        <v>22</v>
      </c>
      <c r="I102" s="4" t="s">
        <v>21</v>
      </c>
      <c r="J102" s="4" t="s">
        <v>10</v>
      </c>
      <c r="K102" s="5">
        <v>1700</v>
      </c>
      <c r="L102" s="5"/>
      <c r="M102" s="5">
        <f>SUM(K102+L102)</f>
        <v>1700</v>
      </c>
      <c r="N102" s="11"/>
      <c r="O102" s="13"/>
      <c r="P102" s="12">
        <f>SUM(M102+O102)</f>
        <v>1700</v>
      </c>
      <c r="Q102" s="11"/>
      <c r="R102" s="13"/>
      <c r="S102" s="12">
        <f>SUM(P102+R102)</f>
        <v>1700</v>
      </c>
      <c r="T102" s="11"/>
    </row>
    <row r="103" spans="1:20" ht="99.75" customHeight="1" collapsed="1">
      <c r="A103" s="1"/>
      <c r="B103" s="101" t="s">
        <v>118</v>
      </c>
      <c r="C103" s="101"/>
      <c r="D103" s="101"/>
      <c r="E103" s="101"/>
      <c r="F103" s="101"/>
      <c r="G103" s="101"/>
      <c r="H103" s="47" t="s">
        <v>20</v>
      </c>
      <c r="I103" s="47" t="s">
        <v>3</v>
      </c>
      <c r="J103" s="47" t="s">
        <v>3</v>
      </c>
      <c r="K103" s="48">
        <f>K104</f>
        <v>2809</v>
      </c>
      <c r="L103" s="48">
        <f>SUM(L104)</f>
        <v>0</v>
      </c>
      <c r="M103" s="48">
        <f>SUM(M104)</f>
        <v>2809</v>
      </c>
      <c r="N103" s="46"/>
      <c r="O103" s="49">
        <f>SUM(O104)</f>
        <v>0</v>
      </c>
      <c r="P103" s="50">
        <f>SUM(P104)</f>
        <v>2809</v>
      </c>
      <c r="Q103" s="46"/>
      <c r="R103" s="49">
        <f>SUM(R104)</f>
        <v>-2109</v>
      </c>
      <c r="S103" s="50">
        <f>SUM(S104)</f>
        <v>700</v>
      </c>
      <c r="T103" s="11" t="s">
        <v>282</v>
      </c>
    </row>
    <row r="104" spans="1:20" ht="110.25" customHeight="1" hidden="1" outlineLevel="1">
      <c r="A104" s="1"/>
      <c r="B104" s="2"/>
      <c r="C104" s="3"/>
      <c r="D104" s="100" t="s">
        <v>119</v>
      </c>
      <c r="E104" s="100"/>
      <c r="F104" s="100"/>
      <c r="G104" s="100"/>
      <c r="H104" s="4" t="s">
        <v>20</v>
      </c>
      <c r="I104" s="4" t="s">
        <v>1</v>
      </c>
      <c r="J104" s="4" t="s">
        <v>10</v>
      </c>
      <c r="K104" s="5">
        <v>2809</v>
      </c>
      <c r="L104" s="5"/>
      <c r="M104" s="5">
        <f>SUM(K104+L104)</f>
        <v>2809</v>
      </c>
      <c r="N104" s="11"/>
      <c r="O104" s="13"/>
      <c r="P104" s="12">
        <f>SUM(M104+O104)</f>
        <v>2809</v>
      </c>
      <c r="Q104" s="11"/>
      <c r="R104" s="13">
        <f>-1877-232</f>
        <v>-2109</v>
      </c>
      <c r="S104" s="12">
        <f>SUM(P104+R104)</f>
        <v>700</v>
      </c>
      <c r="T104" s="11" t="s">
        <v>282</v>
      </c>
    </row>
    <row r="105" spans="1:20" ht="45.75" customHeight="1" collapsed="1">
      <c r="A105" s="1"/>
      <c r="B105" s="101" t="s">
        <v>120</v>
      </c>
      <c r="C105" s="101"/>
      <c r="D105" s="101"/>
      <c r="E105" s="101"/>
      <c r="F105" s="101"/>
      <c r="G105" s="101"/>
      <c r="H105" s="47" t="s">
        <v>19</v>
      </c>
      <c r="I105" s="47" t="s">
        <v>3</v>
      </c>
      <c r="J105" s="47" t="s">
        <v>3</v>
      </c>
      <c r="K105" s="48">
        <f>K106</f>
        <v>2500</v>
      </c>
      <c r="L105" s="48">
        <f>SUM(L106)</f>
        <v>115</v>
      </c>
      <c r="M105" s="48">
        <f>SUM(M106)</f>
        <v>2615</v>
      </c>
      <c r="N105" s="46"/>
      <c r="O105" s="49">
        <f>SUM(O106)</f>
        <v>0</v>
      </c>
      <c r="P105" s="50">
        <f>SUM(P106)</f>
        <v>2615</v>
      </c>
      <c r="Q105" s="46"/>
      <c r="R105" s="49">
        <f>SUM(R106)</f>
        <v>-14.3</v>
      </c>
      <c r="S105" s="50">
        <f>SUM(S106)</f>
        <v>2600.7</v>
      </c>
      <c r="T105" s="11" t="s">
        <v>294</v>
      </c>
    </row>
    <row r="106" spans="1:20" ht="40.5" customHeight="1" hidden="1" outlineLevel="1">
      <c r="A106" s="1"/>
      <c r="B106" s="2"/>
      <c r="C106" s="3"/>
      <c r="D106" s="100" t="s">
        <v>121</v>
      </c>
      <c r="E106" s="100"/>
      <c r="F106" s="100"/>
      <c r="G106" s="100"/>
      <c r="H106" s="4" t="s">
        <v>19</v>
      </c>
      <c r="I106" s="4" t="s">
        <v>1</v>
      </c>
      <c r="J106" s="4" t="s">
        <v>10</v>
      </c>
      <c r="K106" s="5">
        <v>2500</v>
      </c>
      <c r="L106" s="5">
        <v>115</v>
      </c>
      <c r="M106" s="5">
        <f>SUM(K106+L106)</f>
        <v>2615</v>
      </c>
      <c r="N106" s="11" t="s">
        <v>192</v>
      </c>
      <c r="O106" s="13"/>
      <c r="P106" s="12">
        <f>SUM(M106+O106)</f>
        <v>2615</v>
      </c>
      <c r="Q106" s="11"/>
      <c r="R106" s="13">
        <v>-14.3</v>
      </c>
      <c r="S106" s="12">
        <f>SUM(P106+R106)</f>
        <v>2600.7</v>
      </c>
      <c r="T106" s="11" t="s">
        <v>288</v>
      </c>
    </row>
    <row r="107" spans="1:20" ht="33.75" customHeight="1">
      <c r="A107" s="1"/>
      <c r="B107" s="101" t="s">
        <v>122</v>
      </c>
      <c r="C107" s="101"/>
      <c r="D107" s="101"/>
      <c r="E107" s="101"/>
      <c r="F107" s="101"/>
      <c r="G107" s="101"/>
      <c r="H107" s="47" t="s">
        <v>18</v>
      </c>
      <c r="I107" s="47" t="s">
        <v>3</v>
      </c>
      <c r="J107" s="47" t="s">
        <v>3</v>
      </c>
      <c r="K107" s="48">
        <f>K108+K112</f>
        <v>1899.6</v>
      </c>
      <c r="L107" s="48">
        <f>SUM(L108+L112)</f>
        <v>0</v>
      </c>
      <c r="M107" s="48">
        <f>SUM(M108+M112)</f>
        <v>1899.6</v>
      </c>
      <c r="N107" s="46"/>
      <c r="O107" s="49">
        <f>SUM(O108+O112)</f>
        <v>0</v>
      </c>
      <c r="P107" s="50">
        <f>SUM(P108+P112)</f>
        <v>1899.6</v>
      </c>
      <c r="Q107" s="46"/>
      <c r="R107" s="49">
        <f>SUM(R108+R112)</f>
        <v>861</v>
      </c>
      <c r="S107" s="50">
        <f>SUM(S108+S112)</f>
        <v>2760.6</v>
      </c>
      <c r="T107" s="11"/>
    </row>
    <row r="108" spans="1:20" ht="110.25" customHeight="1" collapsed="1">
      <c r="A108" s="1"/>
      <c r="B108" s="44"/>
      <c r="C108" s="100" t="s">
        <v>123</v>
      </c>
      <c r="D108" s="100"/>
      <c r="E108" s="100"/>
      <c r="F108" s="100"/>
      <c r="G108" s="100"/>
      <c r="H108" s="4" t="s">
        <v>18</v>
      </c>
      <c r="I108" s="4" t="s">
        <v>14</v>
      </c>
      <c r="J108" s="4" t="s">
        <v>3</v>
      </c>
      <c r="K108" s="5">
        <v>1549.6</v>
      </c>
      <c r="L108" s="5">
        <f>SUM(L109+L110+L111)</f>
        <v>0</v>
      </c>
      <c r="M108" s="5">
        <f>SUM(M109+M110+M111)</f>
        <v>1549.6</v>
      </c>
      <c r="N108" s="11"/>
      <c r="O108" s="13">
        <f>SUM(O109+O110+O111)</f>
        <v>0</v>
      </c>
      <c r="P108" s="12">
        <f>SUM(P109+P110+P111)</f>
        <v>1549.6</v>
      </c>
      <c r="Q108" s="11"/>
      <c r="R108" s="13">
        <f>SUM(R109+R110+R111)</f>
        <v>861</v>
      </c>
      <c r="S108" s="12">
        <f>SUM(S109+S110+S111)</f>
        <v>2410.6</v>
      </c>
      <c r="T108" s="11" t="s">
        <v>283</v>
      </c>
    </row>
    <row r="109" spans="1:20" ht="24.75" customHeight="1" hidden="1" outlineLevel="1">
      <c r="A109" s="1"/>
      <c r="B109" s="2"/>
      <c r="C109" s="3"/>
      <c r="D109" s="100" t="s">
        <v>124</v>
      </c>
      <c r="E109" s="100"/>
      <c r="F109" s="100"/>
      <c r="G109" s="100"/>
      <c r="H109" s="4" t="s">
        <v>18</v>
      </c>
      <c r="I109" s="4" t="s">
        <v>14</v>
      </c>
      <c r="J109" s="4" t="s">
        <v>10</v>
      </c>
      <c r="K109" s="5">
        <v>61.6</v>
      </c>
      <c r="L109" s="5"/>
      <c r="M109" s="5">
        <f>SUM(K109+L109)</f>
        <v>61.6</v>
      </c>
      <c r="N109" s="11"/>
      <c r="O109" s="13"/>
      <c r="P109" s="12">
        <f>SUM(M109+O109)</f>
        <v>61.6</v>
      </c>
      <c r="Q109" s="11"/>
      <c r="R109" s="13"/>
      <c r="S109" s="12">
        <f>SUM(P109+R109)</f>
        <v>61.6</v>
      </c>
      <c r="T109" s="11"/>
    </row>
    <row r="110" spans="1:20" ht="121.5" customHeight="1" hidden="1" outlineLevel="1">
      <c r="A110" s="1"/>
      <c r="B110" s="2"/>
      <c r="C110" s="3"/>
      <c r="D110" s="100" t="s">
        <v>125</v>
      </c>
      <c r="E110" s="100"/>
      <c r="F110" s="100"/>
      <c r="G110" s="100"/>
      <c r="H110" s="4" t="s">
        <v>18</v>
      </c>
      <c r="I110" s="4" t="s">
        <v>14</v>
      </c>
      <c r="J110" s="4" t="s">
        <v>9</v>
      </c>
      <c r="K110" s="5">
        <v>1268</v>
      </c>
      <c r="L110" s="5"/>
      <c r="M110" s="5">
        <f>SUM(K110+L110)</f>
        <v>1268</v>
      </c>
      <c r="N110" s="11"/>
      <c r="O110" s="13"/>
      <c r="P110" s="12">
        <f>SUM(M110+O110)</f>
        <v>1268</v>
      </c>
      <c r="Q110" s="11"/>
      <c r="R110" s="13">
        <f>-539+1400</f>
        <v>861</v>
      </c>
      <c r="S110" s="12">
        <f>SUM(P110+R110)</f>
        <v>2129</v>
      </c>
      <c r="T110" s="11" t="s">
        <v>283</v>
      </c>
    </row>
    <row r="111" spans="1:20" ht="22.5" customHeight="1" hidden="1" outlineLevel="1">
      <c r="A111" s="1"/>
      <c r="B111" s="2"/>
      <c r="C111" s="3"/>
      <c r="D111" s="100" t="s">
        <v>126</v>
      </c>
      <c r="E111" s="100"/>
      <c r="F111" s="100"/>
      <c r="G111" s="100"/>
      <c r="H111" s="4" t="s">
        <v>18</v>
      </c>
      <c r="I111" s="4" t="s">
        <v>14</v>
      </c>
      <c r="J111" s="4" t="s">
        <v>8</v>
      </c>
      <c r="K111" s="5">
        <v>220</v>
      </c>
      <c r="L111" s="5"/>
      <c r="M111" s="5">
        <f>SUM(K111+L111)</f>
        <v>220</v>
      </c>
      <c r="N111" s="11"/>
      <c r="O111" s="13"/>
      <c r="P111" s="12">
        <f>SUM(M111+O111)</f>
        <v>220</v>
      </c>
      <c r="Q111" s="11"/>
      <c r="R111" s="13"/>
      <c r="S111" s="12">
        <f>SUM(P111+R111)</f>
        <v>220</v>
      </c>
      <c r="T111" s="11"/>
    </row>
    <row r="112" spans="1:20" ht="22.5" customHeight="1" collapsed="1">
      <c r="A112" s="1"/>
      <c r="B112" s="44"/>
      <c r="C112" s="100" t="s">
        <v>127</v>
      </c>
      <c r="D112" s="100"/>
      <c r="E112" s="100"/>
      <c r="F112" s="100"/>
      <c r="G112" s="100"/>
      <c r="H112" s="4" t="s">
        <v>18</v>
      </c>
      <c r="I112" s="4" t="s">
        <v>13</v>
      </c>
      <c r="J112" s="4" t="s">
        <v>3</v>
      </c>
      <c r="K112" s="5">
        <v>350</v>
      </c>
      <c r="L112" s="5">
        <f>SUM(L113)</f>
        <v>0</v>
      </c>
      <c r="M112" s="5">
        <f>M113</f>
        <v>350</v>
      </c>
      <c r="N112" s="11"/>
      <c r="O112" s="13">
        <f>SUM(O113)</f>
        <v>0</v>
      </c>
      <c r="P112" s="12">
        <f>P113</f>
        <v>350</v>
      </c>
      <c r="Q112" s="11"/>
      <c r="R112" s="13">
        <f>SUM(R113)</f>
        <v>0</v>
      </c>
      <c r="S112" s="12">
        <f>S113</f>
        <v>350</v>
      </c>
      <c r="T112" s="11"/>
    </row>
    <row r="113" spans="1:20" ht="33" customHeight="1" hidden="1" outlineLevel="1">
      <c r="A113" s="1"/>
      <c r="B113" s="2"/>
      <c r="C113" s="3"/>
      <c r="D113" s="100" t="s">
        <v>128</v>
      </c>
      <c r="E113" s="100"/>
      <c r="F113" s="100"/>
      <c r="G113" s="100"/>
      <c r="H113" s="4" t="s">
        <v>18</v>
      </c>
      <c r="I113" s="4" t="s">
        <v>13</v>
      </c>
      <c r="J113" s="4" t="s">
        <v>10</v>
      </c>
      <c r="K113" s="5">
        <v>350</v>
      </c>
      <c r="L113" s="5"/>
      <c r="M113" s="5">
        <f>SUM(K113+L113)</f>
        <v>350</v>
      </c>
      <c r="N113" s="11"/>
      <c r="O113" s="13"/>
      <c r="P113" s="12">
        <f>SUM(M113+O113)</f>
        <v>350</v>
      </c>
      <c r="Q113" s="11"/>
      <c r="R113" s="13"/>
      <c r="S113" s="12">
        <f>SUM(P113+R113)</f>
        <v>350</v>
      </c>
      <c r="T113" s="11"/>
    </row>
    <row r="114" spans="1:20" ht="33.75" customHeight="1" collapsed="1">
      <c r="A114" s="1"/>
      <c r="B114" s="101" t="s">
        <v>129</v>
      </c>
      <c r="C114" s="101"/>
      <c r="D114" s="101"/>
      <c r="E114" s="101"/>
      <c r="F114" s="101"/>
      <c r="G114" s="101"/>
      <c r="H114" s="47" t="s">
        <v>17</v>
      </c>
      <c r="I114" s="47" t="s">
        <v>3</v>
      </c>
      <c r="J114" s="47" t="s">
        <v>3</v>
      </c>
      <c r="K114" s="48">
        <f>K115</f>
        <v>600</v>
      </c>
      <c r="L114" s="48">
        <f>SUM(L115)</f>
        <v>0</v>
      </c>
      <c r="M114" s="48">
        <f>SUM(M115)</f>
        <v>600</v>
      </c>
      <c r="N114" s="46"/>
      <c r="O114" s="49">
        <f>SUM(O115)</f>
        <v>0</v>
      </c>
      <c r="P114" s="50">
        <f>SUM(P115)</f>
        <v>600</v>
      </c>
      <c r="Q114" s="46"/>
      <c r="R114" s="49">
        <f>SUM(R115)</f>
        <v>0</v>
      </c>
      <c r="S114" s="50">
        <f>SUM(S115)</f>
        <v>600</v>
      </c>
      <c r="T114" s="11"/>
    </row>
    <row r="115" spans="1:20" ht="22.5" customHeight="1" hidden="1" outlineLevel="1">
      <c r="A115" s="1"/>
      <c r="B115" s="2"/>
      <c r="C115" s="3"/>
      <c r="D115" s="100" t="s">
        <v>130</v>
      </c>
      <c r="E115" s="100"/>
      <c r="F115" s="100"/>
      <c r="G115" s="100"/>
      <c r="H115" s="4" t="s">
        <v>17</v>
      </c>
      <c r="I115" s="4" t="s">
        <v>1</v>
      </c>
      <c r="J115" s="4" t="s">
        <v>10</v>
      </c>
      <c r="K115" s="5">
        <v>600</v>
      </c>
      <c r="L115" s="5"/>
      <c r="M115" s="6">
        <f>SUM(K115+L115)</f>
        <v>600</v>
      </c>
      <c r="N115" s="11"/>
      <c r="O115" s="13"/>
      <c r="P115" s="12">
        <f>SUM(M115+O115)</f>
        <v>600</v>
      </c>
      <c r="Q115" s="11"/>
      <c r="R115" s="13"/>
      <c r="S115" s="12">
        <f>SUM(P115+R115)</f>
        <v>600</v>
      </c>
      <c r="T115" s="11"/>
    </row>
    <row r="116" spans="1:20" ht="22.5" customHeight="1">
      <c r="A116" s="1"/>
      <c r="B116" s="101" t="s">
        <v>131</v>
      </c>
      <c r="C116" s="101"/>
      <c r="D116" s="101"/>
      <c r="E116" s="101"/>
      <c r="F116" s="101"/>
      <c r="G116" s="101"/>
      <c r="H116" s="47" t="s">
        <v>16</v>
      </c>
      <c r="I116" s="47" t="s">
        <v>3</v>
      </c>
      <c r="J116" s="47" t="s">
        <v>3</v>
      </c>
      <c r="K116" s="48">
        <f>K117+K122+K125</f>
        <v>2091021</v>
      </c>
      <c r="L116" s="48">
        <f>SUM(L117+L122+L125)</f>
        <v>23868.5</v>
      </c>
      <c r="M116" s="48">
        <f>SUM(M117+M122+M125)</f>
        <v>2114889.5</v>
      </c>
      <c r="N116" s="46"/>
      <c r="O116" s="49">
        <f>SUM(O117+O122+O125)</f>
        <v>5670.3</v>
      </c>
      <c r="P116" s="49">
        <f>SUM(P117+P122+P125)</f>
        <v>2120559.8</v>
      </c>
      <c r="Q116" s="46"/>
      <c r="R116" s="49">
        <f>SUM(R117+R122+R125)</f>
        <v>28577.29999999999</v>
      </c>
      <c r="S116" s="49">
        <f>SUM(S117+S122+S125)</f>
        <v>2149137.1</v>
      </c>
      <c r="T116" s="11"/>
    </row>
    <row r="117" spans="1:20" ht="409.5" customHeight="1">
      <c r="A117" s="1"/>
      <c r="B117" s="44"/>
      <c r="C117" s="102" t="s">
        <v>132</v>
      </c>
      <c r="D117" s="103"/>
      <c r="E117" s="103"/>
      <c r="F117" s="103"/>
      <c r="G117" s="104"/>
      <c r="H117" s="88" t="s">
        <v>16</v>
      </c>
      <c r="I117" s="88" t="s">
        <v>14</v>
      </c>
      <c r="J117" s="88" t="s">
        <v>3</v>
      </c>
      <c r="K117" s="86">
        <f>K119+K120+K121</f>
        <v>1992137.5</v>
      </c>
      <c r="L117" s="5">
        <f>SUM(L119+L120+L121)</f>
        <v>1464.9</v>
      </c>
      <c r="M117" s="86">
        <f>SUM(M119+M120+M121)</f>
        <v>1993602.4</v>
      </c>
      <c r="N117" s="11"/>
      <c r="O117" s="13">
        <f>SUM(O119+O120+O121)</f>
        <v>140.7</v>
      </c>
      <c r="P117" s="82">
        <f>SUM(P119+P120+P121)</f>
        <v>1993743.0999999999</v>
      </c>
      <c r="Q117" s="11"/>
      <c r="R117" s="80">
        <f>SUM(R119+R120+R121)</f>
        <v>22999.899999999987</v>
      </c>
      <c r="S117" s="82">
        <f>SUM(S119+S120+S121)</f>
        <v>2016743</v>
      </c>
      <c r="T117" s="84" t="s">
        <v>320</v>
      </c>
    </row>
    <row r="118" spans="1:20" ht="142.5" customHeight="1" collapsed="1">
      <c r="A118" s="1"/>
      <c r="B118" s="44"/>
      <c r="C118" s="105"/>
      <c r="D118" s="106"/>
      <c r="E118" s="106"/>
      <c r="F118" s="106"/>
      <c r="G118" s="107"/>
      <c r="H118" s="89"/>
      <c r="I118" s="89"/>
      <c r="J118" s="89"/>
      <c r="K118" s="87"/>
      <c r="L118" s="5"/>
      <c r="M118" s="87"/>
      <c r="N118" s="11"/>
      <c r="O118" s="13"/>
      <c r="P118" s="83"/>
      <c r="Q118" s="11"/>
      <c r="R118" s="81"/>
      <c r="S118" s="83"/>
      <c r="T118" s="85"/>
    </row>
    <row r="119" spans="1:20" ht="89.25" customHeight="1" hidden="1" outlineLevel="1">
      <c r="A119" s="1"/>
      <c r="B119" s="2"/>
      <c r="C119" s="3"/>
      <c r="D119" s="100" t="s">
        <v>133</v>
      </c>
      <c r="E119" s="100"/>
      <c r="F119" s="100"/>
      <c r="G119" s="100"/>
      <c r="H119" s="4" t="s">
        <v>16</v>
      </c>
      <c r="I119" s="4" t="s">
        <v>14</v>
      </c>
      <c r="J119" s="4" t="s">
        <v>10</v>
      </c>
      <c r="K119" s="5">
        <v>36516.2</v>
      </c>
      <c r="L119" s="5"/>
      <c r="M119" s="5">
        <f>SUM(K119+L119)</f>
        <v>36516.2</v>
      </c>
      <c r="N119" s="11"/>
      <c r="O119" s="13"/>
      <c r="P119" s="12">
        <f>SUM(M119+O119)</f>
        <v>36516.2</v>
      </c>
      <c r="Q119" s="11"/>
      <c r="R119" s="13">
        <f>-229-25.2+390</f>
        <v>135.8</v>
      </c>
      <c r="S119" s="12">
        <f>SUM(P119+R119)</f>
        <v>36652</v>
      </c>
      <c r="T119" s="60" t="s">
        <v>321</v>
      </c>
    </row>
    <row r="120" spans="1:20" ht="289.5" customHeight="1" hidden="1" outlineLevel="1">
      <c r="A120" s="1"/>
      <c r="B120" s="2"/>
      <c r="C120" s="3"/>
      <c r="D120" s="97" t="s">
        <v>134</v>
      </c>
      <c r="E120" s="98"/>
      <c r="F120" s="98"/>
      <c r="G120" s="99"/>
      <c r="H120" s="4" t="s">
        <v>16</v>
      </c>
      <c r="I120" s="4" t="s">
        <v>14</v>
      </c>
      <c r="J120" s="4" t="s">
        <v>9</v>
      </c>
      <c r="K120" s="5">
        <v>1771579.5</v>
      </c>
      <c r="L120" s="5">
        <f>1052+52.9</f>
        <v>1104.9</v>
      </c>
      <c r="M120" s="5">
        <f>SUM(K120+L120)</f>
        <v>1772684.4</v>
      </c>
      <c r="N120" s="11" t="s">
        <v>181</v>
      </c>
      <c r="O120" s="13">
        <f>240.2-99.5</f>
        <v>140.7</v>
      </c>
      <c r="P120" s="12">
        <f>SUM(M120+O120)</f>
        <v>1772825.0999999999</v>
      </c>
      <c r="Q120" s="11" t="s">
        <v>211</v>
      </c>
      <c r="R120" s="13">
        <f>34384.2+1164.6-1503.3+10648.9+880.2+183.7</f>
        <v>45758.29999999999</v>
      </c>
      <c r="S120" s="12">
        <f>SUM(P120+R120)</f>
        <v>1818583.4</v>
      </c>
      <c r="T120" s="11" t="s">
        <v>301</v>
      </c>
    </row>
    <row r="121" spans="1:20" ht="348.75" customHeight="1" hidden="1" outlineLevel="1">
      <c r="A121" s="1"/>
      <c r="B121" s="2"/>
      <c r="C121" s="3"/>
      <c r="D121" s="100" t="s">
        <v>135</v>
      </c>
      <c r="E121" s="100"/>
      <c r="F121" s="100"/>
      <c r="G121" s="100"/>
      <c r="H121" s="4" t="s">
        <v>16</v>
      </c>
      <c r="I121" s="4" t="s">
        <v>14</v>
      </c>
      <c r="J121" s="4" t="s">
        <v>8</v>
      </c>
      <c r="K121" s="5">
        <v>184041.8</v>
      </c>
      <c r="L121" s="5">
        <v>360</v>
      </c>
      <c r="M121" s="5">
        <f>SUM(K121+L121)</f>
        <v>184401.8</v>
      </c>
      <c r="N121" s="11" t="s">
        <v>193</v>
      </c>
      <c r="O121" s="13"/>
      <c r="P121" s="12">
        <f>SUM(M121+O121)</f>
        <v>184401.8</v>
      </c>
      <c r="Q121" s="11"/>
      <c r="R121" s="13">
        <f>-25673.9+5458.3-396-3231.4+229+14.9+200+105+399.8+0.1</f>
        <v>-22894.200000000004</v>
      </c>
      <c r="S121" s="12">
        <f>SUM(P121+R121)</f>
        <v>161507.59999999998</v>
      </c>
      <c r="T121" s="11" t="s">
        <v>302</v>
      </c>
    </row>
    <row r="122" spans="1:20" ht="119.25" customHeight="1" collapsed="1">
      <c r="A122" s="1"/>
      <c r="B122" s="44"/>
      <c r="C122" s="100" t="s">
        <v>136</v>
      </c>
      <c r="D122" s="100"/>
      <c r="E122" s="100"/>
      <c r="F122" s="100"/>
      <c r="G122" s="100"/>
      <c r="H122" s="4" t="s">
        <v>16</v>
      </c>
      <c r="I122" s="4" t="s">
        <v>13</v>
      </c>
      <c r="J122" s="4" t="s">
        <v>3</v>
      </c>
      <c r="K122" s="5">
        <f>K123+K124</f>
        <v>22538.8</v>
      </c>
      <c r="L122" s="5">
        <f>SUM(L123+L124)</f>
        <v>4923.6</v>
      </c>
      <c r="M122" s="5">
        <f>SUM(M123+M124)</f>
        <v>27462.4</v>
      </c>
      <c r="N122" s="11"/>
      <c r="O122" s="13">
        <f>SUM(O123+O124)</f>
        <v>1029.6</v>
      </c>
      <c r="P122" s="13">
        <f>SUM(P123+P124)</f>
        <v>28492.000000000004</v>
      </c>
      <c r="Q122" s="11"/>
      <c r="R122" s="13">
        <f>SUM(R123+R124)</f>
        <v>4103.700000000001</v>
      </c>
      <c r="S122" s="13">
        <f>SUM(S123+S124)</f>
        <v>32595.700000000004</v>
      </c>
      <c r="T122" s="17" t="s">
        <v>329</v>
      </c>
    </row>
    <row r="123" spans="1:20" ht="79.5" customHeight="1" hidden="1" outlineLevel="1">
      <c r="A123" s="1"/>
      <c r="B123" s="2"/>
      <c r="C123" s="3"/>
      <c r="D123" s="97" t="s">
        <v>137</v>
      </c>
      <c r="E123" s="98"/>
      <c r="F123" s="98"/>
      <c r="G123" s="99"/>
      <c r="H123" s="4" t="s">
        <v>16</v>
      </c>
      <c r="I123" s="4" t="s">
        <v>13</v>
      </c>
      <c r="J123" s="4" t="s">
        <v>10</v>
      </c>
      <c r="K123" s="5">
        <v>22038.8</v>
      </c>
      <c r="L123" s="5">
        <f>-100+3600+2079-202.5-400-52.9</f>
        <v>4923.6</v>
      </c>
      <c r="M123" s="5">
        <f>SUM(K123+L123)</f>
        <v>26962.4</v>
      </c>
      <c r="N123" s="11" t="s">
        <v>254</v>
      </c>
      <c r="O123" s="13">
        <f>2090.1+99.5-1569.9</f>
        <v>619.6999999999998</v>
      </c>
      <c r="P123" s="12">
        <f>SUM(M123+O123)</f>
        <v>27582.100000000002</v>
      </c>
      <c r="Q123" s="11" t="s">
        <v>233</v>
      </c>
      <c r="R123" s="13">
        <f>70+36-437.4+38+49.9-1778.4+6160.6+14.9</f>
        <v>4153.6</v>
      </c>
      <c r="S123" s="12">
        <f>SUM(P123+R123)</f>
        <v>31735.700000000004</v>
      </c>
      <c r="T123" s="61" t="s">
        <v>330</v>
      </c>
    </row>
    <row r="124" spans="1:20" ht="37.5" customHeight="1" hidden="1" outlineLevel="1">
      <c r="A124" s="1"/>
      <c r="B124" s="2"/>
      <c r="C124" s="3"/>
      <c r="D124" s="100" t="s">
        <v>138</v>
      </c>
      <c r="E124" s="100"/>
      <c r="F124" s="100"/>
      <c r="G124" s="100"/>
      <c r="H124" s="4" t="s">
        <v>16</v>
      </c>
      <c r="I124" s="4" t="s">
        <v>13</v>
      </c>
      <c r="J124" s="4" t="s">
        <v>9</v>
      </c>
      <c r="K124" s="5">
        <v>500</v>
      </c>
      <c r="L124" s="5"/>
      <c r="M124" s="5">
        <f>SUM(K124+L124)</f>
        <v>500</v>
      </c>
      <c r="N124" s="11"/>
      <c r="O124" s="13">
        <v>409.9</v>
      </c>
      <c r="P124" s="12">
        <f>SUM(M124+O124)</f>
        <v>909.9</v>
      </c>
      <c r="Q124" s="11"/>
      <c r="R124" s="13">
        <v>-49.9</v>
      </c>
      <c r="S124" s="12">
        <f>SUM(P124+R124)</f>
        <v>860</v>
      </c>
      <c r="T124" s="61" t="s">
        <v>263</v>
      </c>
    </row>
    <row r="125" spans="1:20" ht="140.25" customHeight="1" collapsed="1">
      <c r="A125" s="1"/>
      <c r="B125" s="44"/>
      <c r="C125" s="100" t="s">
        <v>139</v>
      </c>
      <c r="D125" s="100"/>
      <c r="E125" s="100"/>
      <c r="F125" s="100"/>
      <c r="G125" s="100"/>
      <c r="H125" s="4" t="s">
        <v>16</v>
      </c>
      <c r="I125" s="4" t="s">
        <v>11</v>
      </c>
      <c r="J125" s="4" t="s">
        <v>3</v>
      </c>
      <c r="K125" s="5">
        <f>K126+K127+K128</f>
        <v>76344.7</v>
      </c>
      <c r="L125" s="5">
        <f>SUM(L126+L127+L128)</f>
        <v>17480</v>
      </c>
      <c r="M125" s="5">
        <f>SUM(M126+M127+M128)</f>
        <v>93824.7</v>
      </c>
      <c r="N125" s="11"/>
      <c r="O125" s="13">
        <f>SUM(O126+O127+O128)</f>
        <v>4500</v>
      </c>
      <c r="P125" s="12">
        <f>SUM(P126+P127+P128)</f>
        <v>98324.7</v>
      </c>
      <c r="Q125" s="11"/>
      <c r="R125" s="13">
        <f>SUM(R126+R127+R128)</f>
        <v>1473.7</v>
      </c>
      <c r="S125" s="79">
        <f>SUM(S126+S127+S128)</f>
        <v>99798.4</v>
      </c>
      <c r="T125" s="11" t="s">
        <v>322</v>
      </c>
    </row>
    <row r="126" spans="1:20" ht="52.5" customHeight="1" hidden="1" outlineLevel="1">
      <c r="A126" s="1"/>
      <c r="B126" s="2"/>
      <c r="C126" s="3"/>
      <c r="D126" s="97" t="s">
        <v>140</v>
      </c>
      <c r="E126" s="98"/>
      <c r="F126" s="98"/>
      <c r="G126" s="99"/>
      <c r="H126" s="4" t="s">
        <v>16</v>
      </c>
      <c r="I126" s="4" t="s">
        <v>11</v>
      </c>
      <c r="J126" s="4" t="s">
        <v>10</v>
      </c>
      <c r="K126" s="5">
        <v>26305.1</v>
      </c>
      <c r="L126" s="5">
        <v>16780</v>
      </c>
      <c r="M126" s="5">
        <f>SUM(K126+L126)</f>
        <v>43085.1</v>
      </c>
      <c r="N126" s="11" t="s">
        <v>174</v>
      </c>
      <c r="O126" s="13">
        <v>2000</v>
      </c>
      <c r="P126" s="12">
        <f>SUM(M126+O126)</f>
        <v>45085.1</v>
      </c>
      <c r="Q126" s="11" t="s">
        <v>218</v>
      </c>
      <c r="R126" s="13">
        <f>53.5</f>
        <v>53.5</v>
      </c>
      <c r="S126" s="12">
        <f>SUM(P126+R126)</f>
        <v>45138.6</v>
      </c>
      <c r="T126" s="11" t="s">
        <v>314</v>
      </c>
    </row>
    <row r="127" spans="1:20" ht="81.75" customHeight="1" hidden="1" outlineLevel="1">
      <c r="A127" s="1"/>
      <c r="B127" s="2"/>
      <c r="C127" s="3"/>
      <c r="D127" s="97" t="s">
        <v>141</v>
      </c>
      <c r="E127" s="98"/>
      <c r="F127" s="98"/>
      <c r="G127" s="99"/>
      <c r="H127" s="4" t="s">
        <v>16</v>
      </c>
      <c r="I127" s="4" t="s">
        <v>11</v>
      </c>
      <c r="J127" s="4" t="s">
        <v>9</v>
      </c>
      <c r="K127" s="5">
        <v>44236.1</v>
      </c>
      <c r="L127" s="5">
        <v>700</v>
      </c>
      <c r="M127" s="5">
        <f>SUM(K127+L127)</f>
        <v>44936.1</v>
      </c>
      <c r="N127" s="11" t="s">
        <v>171</v>
      </c>
      <c r="O127" s="13"/>
      <c r="P127" s="12">
        <f>SUM(M127+O127)</f>
        <v>44936.1</v>
      </c>
      <c r="Q127" s="11"/>
      <c r="R127" s="13">
        <f>-400-187.5</f>
        <v>-587.5</v>
      </c>
      <c r="S127" s="12">
        <f>SUM(P127+R127)</f>
        <v>44348.6</v>
      </c>
      <c r="T127" s="11" t="s">
        <v>286</v>
      </c>
    </row>
    <row r="128" spans="1:20" ht="97.5" customHeight="1" hidden="1" outlineLevel="1">
      <c r="A128" s="1"/>
      <c r="B128" s="2"/>
      <c r="C128" s="3"/>
      <c r="D128" s="100" t="s">
        <v>142</v>
      </c>
      <c r="E128" s="100"/>
      <c r="F128" s="100"/>
      <c r="G128" s="100"/>
      <c r="H128" s="4" t="s">
        <v>16</v>
      </c>
      <c r="I128" s="4" t="s">
        <v>11</v>
      </c>
      <c r="J128" s="4" t="s">
        <v>8</v>
      </c>
      <c r="K128" s="5">
        <v>5803.5</v>
      </c>
      <c r="L128" s="5"/>
      <c r="M128" s="5">
        <f>SUM(K128+L128)</f>
        <v>5803.5</v>
      </c>
      <c r="N128" s="11"/>
      <c r="O128" s="13">
        <v>2500</v>
      </c>
      <c r="P128" s="12">
        <f>SUM(M128+O128)</f>
        <v>8303.5</v>
      </c>
      <c r="Q128" s="11" t="s">
        <v>219</v>
      </c>
      <c r="R128" s="13">
        <f>400+1357.7+250</f>
        <v>2007.7</v>
      </c>
      <c r="S128" s="12">
        <f>SUM(P128+R128)</f>
        <v>10311.2</v>
      </c>
      <c r="T128" s="62" t="s">
        <v>323</v>
      </c>
    </row>
    <row r="129" spans="1:20" ht="56.25" customHeight="1" collapsed="1">
      <c r="A129" s="1"/>
      <c r="B129" s="101" t="s">
        <v>150</v>
      </c>
      <c r="C129" s="101"/>
      <c r="D129" s="101"/>
      <c r="E129" s="101"/>
      <c r="F129" s="101"/>
      <c r="G129" s="101"/>
      <c r="H129" s="47" t="s">
        <v>15</v>
      </c>
      <c r="I129" s="47" t="s">
        <v>3</v>
      </c>
      <c r="J129" s="47" t="s">
        <v>3</v>
      </c>
      <c r="K129" s="48">
        <f>K130</f>
        <v>1050.4</v>
      </c>
      <c r="L129" s="48">
        <f>SUM(L130)</f>
        <v>0</v>
      </c>
      <c r="M129" s="48">
        <f>SUM(M130)</f>
        <v>1050.4</v>
      </c>
      <c r="N129" s="46"/>
      <c r="O129" s="49">
        <f>SUM(O130)</f>
        <v>0</v>
      </c>
      <c r="P129" s="50">
        <f>SUM(P130)</f>
        <v>1050.4</v>
      </c>
      <c r="Q129" s="46"/>
      <c r="R129" s="49">
        <f>SUM(R130)</f>
        <v>25.2</v>
      </c>
      <c r="S129" s="50">
        <f>SUM(S130)</f>
        <v>1075.6000000000001</v>
      </c>
      <c r="T129" s="11" t="s">
        <v>259</v>
      </c>
    </row>
    <row r="130" spans="1:20" ht="64.5" customHeight="1" hidden="1" outlineLevel="1">
      <c r="A130" s="1"/>
      <c r="B130" s="2"/>
      <c r="C130" s="3"/>
      <c r="D130" s="100" t="s">
        <v>151</v>
      </c>
      <c r="E130" s="100"/>
      <c r="F130" s="100"/>
      <c r="G130" s="100"/>
      <c r="H130" s="4" t="s">
        <v>15</v>
      </c>
      <c r="I130" s="4" t="s">
        <v>1</v>
      </c>
      <c r="J130" s="4" t="s">
        <v>10</v>
      </c>
      <c r="K130" s="5">
        <v>1050.4</v>
      </c>
      <c r="L130" s="5"/>
      <c r="M130" s="5">
        <f>SUM(K130+L130)</f>
        <v>1050.4</v>
      </c>
      <c r="N130" s="11"/>
      <c r="O130" s="13"/>
      <c r="P130" s="12">
        <f>SUM(M130+O130)</f>
        <v>1050.4</v>
      </c>
      <c r="Q130" s="11"/>
      <c r="R130" s="13">
        <v>25.2</v>
      </c>
      <c r="S130" s="12">
        <f>SUM(P130+R130)</f>
        <v>1075.6000000000001</v>
      </c>
      <c r="T130" s="54" t="s">
        <v>259</v>
      </c>
    </row>
    <row r="131" spans="1:20" ht="24.75" customHeight="1">
      <c r="A131" s="1"/>
      <c r="B131" s="101" t="s">
        <v>149</v>
      </c>
      <c r="C131" s="101"/>
      <c r="D131" s="101"/>
      <c r="E131" s="101"/>
      <c r="F131" s="101"/>
      <c r="G131" s="101"/>
      <c r="H131" s="47" t="s">
        <v>12</v>
      </c>
      <c r="I131" s="47" t="s">
        <v>3</v>
      </c>
      <c r="J131" s="47" t="s">
        <v>3</v>
      </c>
      <c r="K131" s="48">
        <f>K132+K135+K137</f>
        <v>417320.8</v>
      </c>
      <c r="L131" s="48">
        <f>SUM(L132+L135+L137)</f>
        <v>877.5</v>
      </c>
      <c r="M131" s="48">
        <f>SUM(M132+M135+M137)</f>
        <v>418198.3</v>
      </c>
      <c r="N131" s="46"/>
      <c r="O131" s="49">
        <f>SUM(O132+O135+O137)</f>
        <v>2261</v>
      </c>
      <c r="P131" s="49">
        <f>SUM(P132+P135+P137)</f>
        <v>420459.3</v>
      </c>
      <c r="Q131" s="46"/>
      <c r="R131" s="49">
        <f>SUM(R132+R135+R137)</f>
        <v>7799.1</v>
      </c>
      <c r="S131" s="49">
        <f>SUM(S132+S135+S137)</f>
        <v>428258.4</v>
      </c>
      <c r="T131" s="11"/>
    </row>
    <row r="132" spans="1:20" ht="229.5" customHeight="1" collapsed="1">
      <c r="A132" s="1"/>
      <c r="B132" s="44"/>
      <c r="C132" s="100" t="s">
        <v>152</v>
      </c>
      <c r="D132" s="100"/>
      <c r="E132" s="100"/>
      <c r="F132" s="100"/>
      <c r="G132" s="100"/>
      <c r="H132" s="4" t="s">
        <v>12</v>
      </c>
      <c r="I132" s="4" t="s">
        <v>14</v>
      </c>
      <c r="J132" s="4" t="s">
        <v>3</v>
      </c>
      <c r="K132" s="5">
        <f>K133+K134</f>
        <v>204311.9</v>
      </c>
      <c r="L132" s="5">
        <f>SUM(L133+L134)</f>
        <v>-3832.2</v>
      </c>
      <c r="M132" s="5">
        <f>SUM(M133+M134)</f>
        <v>200479.69999999998</v>
      </c>
      <c r="N132" s="11"/>
      <c r="O132" s="13">
        <f>SUM(O133+O134)</f>
        <v>0</v>
      </c>
      <c r="P132" s="12">
        <f>SUM(P133+P134)</f>
        <v>200479.69999999998</v>
      </c>
      <c r="Q132" s="11"/>
      <c r="R132" s="13">
        <f>SUM(R133+R134)</f>
        <v>4917.6</v>
      </c>
      <c r="S132" s="12">
        <f>SUM(S133+S134)</f>
        <v>205397.3</v>
      </c>
      <c r="T132" s="11" t="s">
        <v>331</v>
      </c>
    </row>
    <row r="133" spans="1:20" ht="195.75" customHeight="1" hidden="1" outlineLevel="1">
      <c r="A133" s="1"/>
      <c r="B133" s="2"/>
      <c r="C133" s="3"/>
      <c r="D133" s="97" t="s">
        <v>153</v>
      </c>
      <c r="E133" s="98"/>
      <c r="F133" s="98"/>
      <c r="G133" s="99"/>
      <c r="H133" s="4" t="s">
        <v>12</v>
      </c>
      <c r="I133" s="4" t="s">
        <v>14</v>
      </c>
      <c r="J133" s="4" t="s">
        <v>10</v>
      </c>
      <c r="K133" s="5">
        <v>171253.9</v>
      </c>
      <c r="L133" s="5">
        <f>-3882.2+50</f>
        <v>-3832.2</v>
      </c>
      <c r="M133" s="6">
        <f>SUM(K133+L133)</f>
        <v>167421.69999999998</v>
      </c>
      <c r="N133" s="11" t="s">
        <v>203</v>
      </c>
      <c r="O133" s="13"/>
      <c r="P133" s="12">
        <f>SUM(M133+O133)</f>
        <v>167421.69999999998</v>
      </c>
      <c r="Q133" s="11"/>
      <c r="R133" s="13">
        <f>-60+3618.5+980+500</f>
        <v>5038.5</v>
      </c>
      <c r="S133" s="12">
        <f>SUM(P133+R133)</f>
        <v>172460.19999999998</v>
      </c>
      <c r="T133" s="11" t="s">
        <v>319</v>
      </c>
    </row>
    <row r="134" spans="1:20" ht="60" customHeight="1" hidden="1" outlineLevel="1">
      <c r="A134" s="1"/>
      <c r="B134" s="2"/>
      <c r="C134" s="3"/>
      <c r="D134" s="100" t="s">
        <v>154</v>
      </c>
      <c r="E134" s="100"/>
      <c r="F134" s="100"/>
      <c r="G134" s="100"/>
      <c r="H134" s="4" t="s">
        <v>12</v>
      </c>
      <c r="I134" s="4" t="s">
        <v>14</v>
      </c>
      <c r="J134" s="4" t="s">
        <v>9</v>
      </c>
      <c r="K134" s="5">
        <v>33058</v>
      </c>
      <c r="L134" s="5"/>
      <c r="M134" s="6">
        <f>SUM(K134+L134)</f>
        <v>33058</v>
      </c>
      <c r="N134" s="11"/>
      <c r="O134" s="13"/>
      <c r="P134" s="12">
        <f>SUM(M134+O134)</f>
        <v>33058</v>
      </c>
      <c r="Q134" s="11"/>
      <c r="R134" s="13">
        <v>-120.9</v>
      </c>
      <c r="S134" s="12">
        <f>SUM(P134+R134)</f>
        <v>32937.1</v>
      </c>
      <c r="T134" s="11" t="s">
        <v>305</v>
      </c>
    </row>
    <row r="135" spans="1:20" ht="88.5" customHeight="1" collapsed="1">
      <c r="A135" s="1"/>
      <c r="B135" s="44"/>
      <c r="C135" s="100" t="s">
        <v>155</v>
      </c>
      <c r="D135" s="100"/>
      <c r="E135" s="100"/>
      <c r="F135" s="100"/>
      <c r="G135" s="100"/>
      <c r="H135" s="4" t="s">
        <v>12</v>
      </c>
      <c r="I135" s="4" t="s">
        <v>13</v>
      </c>
      <c r="J135" s="4" t="s">
        <v>3</v>
      </c>
      <c r="K135" s="5">
        <f>K136</f>
        <v>40630.1</v>
      </c>
      <c r="L135" s="5">
        <f>SUM(L136)</f>
        <v>875</v>
      </c>
      <c r="M135" s="5">
        <f>SUM(M136)</f>
        <v>41505.1</v>
      </c>
      <c r="N135" s="11"/>
      <c r="O135" s="13">
        <f>SUM(O136)</f>
        <v>0</v>
      </c>
      <c r="P135" s="12">
        <f>SUM(P136)</f>
        <v>41505.1</v>
      </c>
      <c r="Q135" s="11"/>
      <c r="R135" s="13">
        <f>SUM(R136)</f>
        <v>6721.5</v>
      </c>
      <c r="S135" s="12">
        <f>SUM(S136)</f>
        <v>48226.6</v>
      </c>
      <c r="T135" s="11" t="s">
        <v>284</v>
      </c>
    </row>
    <row r="136" spans="1:20" ht="101.25" customHeight="1" hidden="1" outlineLevel="1">
      <c r="A136" s="1"/>
      <c r="B136" s="2"/>
      <c r="C136" s="3"/>
      <c r="D136" s="97" t="s">
        <v>156</v>
      </c>
      <c r="E136" s="98"/>
      <c r="F136" s="98"/>
      <c r="G136" s="99"/>
      <c r="H136" s="4" t="s">
        <v>12</v>
      </c>
      <c r="I136" s="4" t="s">
        <v>13</v>
      </c>
      <c r="J136" s="4" t="s">
        <v>10</v>
      </c>
      <c r="K136" s="5">
        <v>40630.1</v>
      </c>
      <c r="L136" s="5">
        <v>875</v>
      </c>
      <c r="M136" s="6">
        <f>SUM(K136+L136)</f>
        <v>41505.1</v>
      </c>
      <c r="N136" s="11" t="s">
        <v>202</v>
      </c>
      <c r="O136" s="13"/>
      <c r="P136" s="12">
        <f>SUM(M136+O136)</f>
        <v>41505.1</v>
      </c>
      <c r="Q136" s="11"/>
      <c r="R136" s="13">
        <v>6721.5</v>
      </c>
      <c r="S136" s="12">
        <f>SUM(P136+R136)</f>
        <v>48226.6</v>
      </c>
      <c r="T136" s="11" t="s">
        <v>284</v>
      </c>
    </row>
    <row r="137" spans="1:20" ht="72.75" customHeight="1" collapsed="1">
      <c r="A137" s="1"/>
      <c r="B137" s="44"/>
      <c r="C137" s="100" t="s">
        <v>157</v>
      </c>
      <c r="D137" s="100"/>
      <c r="E137" s="100"/>
      <c r="F137" s="100"/>
      <c r="G137" s="100"/>
      <c r="H137" s="4" t="s">
        <v>12</v>
      </c>
      <c r="I137" s="4" t="s">
        <v>11</v>
      </c>
      <c r="J137" s="4" t="s">
        <v>3</v>
      </c>
      <c r="K137" s="5">
        <f>K138+K139</f>
        <v>172378.8</v>
      </c>
      <c r="L137" s="5">
        <f>SUM(L138+L139)</f>
        <v>3834.7</v>
      </c>
      <c r="M137" s="5">
        <f>SUM(M138+M139)</f>
        <v>176213.5</v>
      </c>
      <c r="N137" s="11"/>
      <c r="O137" s="13">
        <f>SUM(O138+O139)</f>
        <v>2261</v>
      </c>
      <c r="P137" s="12">
        <f>SUM(P138+P139)</f>
        <v>178474.5</v>
      </c>
      <c r="Q137" s="11"/>
      <c r="R137" s="13">
        <f>SUM(R138+R139)</f>
        <v>-3840</v>
      </c>
      <c r="S137" s="12">
        <f>SUM(S138+S139)</f>
        <v>174634.5</v>
      </c>
      <c r="T137" s="11" t="s">
        <v>296</v>
      </c>
    </row>
    <row r="138" spans="1:20" ht="72.75" customHeight="1" hidden="1" outlineLevel="1">
      <c r="A138" s="1"/>
      <c r="B138" s="2"/>
      <c r="C138" s="3"/>
      <c r="D138" s="97" t="s">
        <v>158</v>
      </c>
      <c r="E138" s="98"/>
      <c r="F138" s="98"/>
      <c r="G138" s="99"/>
      <c r="H138" s="4" t="s">
        <v>12</v>
      </c>
      <c r="I138" s="4" t="s">
        <v>11</v>
      </c>
      <c r="J138" s="4" t="s">
        <v>10</v>
      </c>
      <c r="K138" s="5">
        <v>97328.2</v>
      </c>
      <c r="L138" s="5">
        <f>2687.3-160+125.2-40-25</f>
        <v>2587.5</v>
      </c>
      <c r="M138" s="6">
        <f>SUM(K138+L138)</f>
        <v>99915.7</v>
      </c>
      <c r="N138" s="11" t="s">
        <v>225</v>
      </c>
      <c r="O138" s="13">
        <v>1073</v>
      </c>
      <c r="P138" s="12">
        <f>SUM(M138+O138)</f>
        <v>100988.7</v>
      </c>
      <c r="Q138" s="11" t="s">
        <v>215</v>
      </c>
      <c r="R138" s="13">
        <v>-2040</v>
      </c>
      <c r="S138" s="12">
        <f>SUM(P138+R138)</f>
        <v>98948.7</v>
      </c>
      <c r="T138" s="11" t="s">
        <v>285</v>
      </c>
    </row>
    <row r="139" spans="1:20" ht="62.25" customHeight="1" hidden="1" outlineLevel="1">
      <c r="A139" s="1"/>
      <c r="B139" s="2"/>
      <c r="C139" s="3"/>
      <c r="D139" s="100" t="s">
        <v>159</v>
      </c>
      <c r="E139" s="100"/>
      <c r="F139" s="100"/>
      <c r="G139" s="100"/>
      <c r="H139" s="4" t="s">
        <v>12</v>
      </c>
      <c r="I139" s="4" t="s">
        <v>11</v>
      </c>
      <c r="J139" s="4" t="s">
        <v>9</v>
      </c>
      <c r="K139" s="5">
        <v>75050.6</v>
      </c>
      <c r="L139" s="5">
        <f>200+1022.2+25</f>
        <v>1247.2</v>
      </c>
      <c r="M139" s="6">
        <f>SUM(K139+L139)</f>
        <v>76297.8</v>
      </c>
      <c r="N139" s="11" t="s">
        <v>226</v>
      </c>
      <c r="O139" s="16">
        <v>1188</v>
      </c>
      <c r="P139" s="12">
        <f>SUM(M139+O139)</f>
        <v>77485.8</v>
      </c>
      <c r="Q139" s="11" t="s">
        <v>234</v>
      </c>
      <c r="R139" s="16">
        <v>-1800</v>
      </c>
      <c r="S139" s="12">
        <f>SUM(P139+R139)</f>
        <v>75685.8</v>
      </c>
      <c r="T139" s="11" t="s">
        <v>264</v>
      </c>
    </row>
    <row r="140" spans="1:20" ht="27.75" customHeight="1">
      <c r="A140" s="1"/>
      <c r="B140" s="101" t="s">
        <v>160</v>
      </c>
      <c r="C140" s="101"/>
      <c r="D140" s="101"/>
      <c r="E140" s="101"/>
      <c r="F140" s="101"/>
      <c r="G140" s="101"/>
      <c r="H140" s="47" t="s">
        <v>2</v>
      </c>
      <c r="I140" s="47" t="s">
        <v>3</v>
      </c>
      <c r="J140" s="47" t="s">
        <v>3</v>
      </c>
      <c r="K140" s="48">
        <f>K141</f>
        <v>76439.3</v>
      </c>
      <c r="L140" s="48">
        <f>SUM(L141)</f>
        <v>621.7</v>
      </c>
      <c r="M140" s="48">
        <f>SUM(M141)</f>
        <v>77061</v>
      </c>
      <c r="N140" s="46"/>
      <c r="O140" s="49">
        <f>SUM(O141)</f>
        <v>815.2999999999998</v>
      </c>
      <c r="P140" s="50">
        <f>SUM(P141)</f>
        <v>77876.29999999999</v>
      </c>
      <c r="Q140" s="46"/>
      <c r="R140" s="49">
        <f>SUM(R141)</f>
        <v>18970.7</v>
      </c>
      <c r="S140" s="50">
        <f>SUM(S141)</f>
        <v>96847</v>
      </c>
      <c r="T140" s="46"/>
    </row>
    <row r="141" spans="1:20" ht="12.75" customHeight="1">
      <c r="A141" s="1"/>
      <c r="B141" s="44"/>
      <c r="C141" s="100" t="s">
        <v>160</v>
      </c>
      <c r="D141" s="100"/>
      <c r="E141" s="100"/>
      <c r="F141" s="100"/>
      <c r="G141" s="100"/>
      <c r="H141" s="4" t="s">
        <v>2</v>
      </c>
      <c r="I141" s="4" t="s">
        <v>1</v>
      </c>
      <c r="J141" s="4" t="s">
        <v>3</v>
      </c>
      <c r="K141" s="5">
        <v>76439.3</v>
      </c>
      <c r="L141" s="5">
        <f>SUM(L142+L143+L144+L145+L146+L147+L148+L149)</f>
        <v>621.7</v>
      </c>
      <c r="M141" s="5">
        <f>SUM(M142+M143+M144+M145+M146+M147+M148+M149)</f>
        <v>77061</v>
      </c>
      <c r="N141" s="11"/>
      <c r="O141" s="13">
        <f>SUM(O142+O143+O144+O145+O146+O147+O148+O149)</f>
        <v>815.2999999999998</v>
      </c>
      <c r="P141" s="12">
        <f>SUM(P142+P143+P144+P145+P146+P147+P148+P149)</f>
        <v>77876.29999999999</v>
      </c>
      <c r="Q141" s="11"/>
      <c r="R141" s="13">
        <f>SUM(R142+R143+R144+R145+R146+R147+R148+R149)</f>
        <v>18970.7</v>
      </c>
      <c r="S141" s="12">
        <f>SUM(S142+S143+S144+S145+S146+S147+S148+S149)</f>
        <v>96847</v>
      </c>
      <c r="T141" s="11"/>
    </row>
    <row r="142" spans="1:20" ht="121.5" customHeight="1">
      <c r="A142" s="1"/>
      <c r="B142" s="2"/>
      <c r="C142" s="3"/>
      <c r="D142" s="97" t="s">
        <v>161</v>
      </c>
      <c r="E142" s="98"/>
      <c r="F142" s="98"/>
      <c r="G142" s="99"/>
      <c r="H142" s="4" t="s">
        <v>2</v>
      </c>
      <c r="I142" s="4" t="s">
        <v>1</v>
      </c>
      <c r="J142" s="4" t="s">
        <v>10</v>
      </c>
      <c r="K142" s="5">
        <v>19419.7</v>
      </c>
      <c r="L142" s="5">
        <f>160+138+40</f>
        <v>338</v>
      </c>
      <c r="M142" s="6">
        <f aca="true" t="shared" si="0" ref="M142:M149">SUM(K142+L142)</f>
        <v>19757.7</v>
      </c>
      <c r="N142" s="11" t="s">
        <v>206</v>
      </c>
      <c r="O142" s="13"/>
      <c r="P142" s="12">
        <f aca="true" t="shared" si="1" ref="P142:P149">SUM(M142+O142)</f>
        <v>19757.7</v>
      </c>
      <c r="Q142" s="11"/>
      <c r="R142" s="13">
        <f>-124.5+322.3</f>
        <v>197.8</v>
      </c>
      <c r="S142" s="12">
        <f aca="true" t="shared" si="2" ref="S142:S149">SUM(P142+R142)</f>
        <v>19955.5</v>
      </c>
      <c r="T142" s="11" t="s">
        <v>310</v>
      </c>
    </row>
    <row r="143" spans="1:20" ht="90" customHeight="1">
      <c r="A143" s="1"/>
      <c r="B143" s="2"/>
      <c r="C143" s="3"/>
      <c r="D143" s="90" t="s">
        <v>162</v>
      </c>
      <c r="E143" s="90"/>
      <c r="F143" s="90"/>
      <c r="G143" s="90"/>
      <c r="H143" s="4" t="s">
        <v>2</v>
      </c>
      <c r="I143" s="4" t="s">
        <v>1</v>
      </c>
      <c r="J143" s="4" t="s">
        <v>9</v>
      </c>
      <c r="K143" s="5">
        <v>12733.4</v>
      </c>
      <c r="L143" s="5"/>
      <c r="M143" s="6">
        <f t="shared" si="0"/>
        <v>12733.4</v>
      </c>
      <c r="N143" s="11"/>
      <c r="O143" s="13"/>
      <c r="P143" s="12">
        <f t="shared" si="1"/>
        <v>12733.4</v>
      </c>
      <c r="Q143" s="11"/>
      <c r="R143" s="13">
        <f>792+347</f>
        <v>1139</v>
      </c>
      <c r="S143" s="12">
        <f t="shared" si="2"/>
        <v>13872.4</v>
      </c>
      <c r="T143" s="11" t="s">
        <v>311</v>
      </c>
    </row>
    <row r="144" spans="1:20" ht="33.75" customHeight="1">
      <c r="A144" s="1"/>
      <c r="B144" s="2"/>
      <c r="C144" s="3"/>
      <c r="D144" s="90" t="s">
        <v>163</v>
      </c>
      <c r="E144" s="90"/>
      <c r="F144" s="90"/>
      <c r="G144" s="90"/>
      <c r="H144" s="4" t="s">
        <v>2</v>
      </c>
      <c r="I144" s="4" t="s">
        <v>1</v>
      </c>
      <c r="J144" s="4" t="s">
        <v>8</v>
      </c>
      <c r="K144" s="5">
        <v>0</v>
      </c>
      <c r="L144" s="5"/>
      <c r="M144" s="6">
        <f t="shared" si="0"/>
        <v>0</v>
      </c>
      <c r="N144" s="11"/>
      <c r="O144" s="13"/>
      <c r="P144" s="12">
        <f t="shared" si="1"/>
        <v>0</v>
      </c>
      <c r="Q144" s="11"/>
      <c r="R144" s="13"/>
      <c r="S144" s="12">
        <f t="shared" si="2"/>
        <v>0</v>
      </c>
      <c r="T144" s="11"/>
    </row>
    <row r="145" spans="1:20" ht="32.25" customHeight="1">
      <c r="A145" s="1"/>
      <c r="B145" s="2"/>
      <c r="C145" s="3"/>
      <c r="D145" s="90" t="s">
        <v>164</v>
      </c>
      <c r="E145" s="90"/>
      <c r="F145" s="90"/>
      <c r="G145" s="90"/>
      <c r="H145" s="4" t="s">
        <v>2</v>
      </c>
      <c r="I145" s="4" t="s">
        <v>1</v>
      </c>
      <c r="J145" s="4" t="s">
        <v>7</v>
      </c>
      <c r="K145" s="5">
        <v>4000</v>
      </c>
      <c r="L145" s="5">
        <f>-67.3-1500-0.3</f>
        <v>-1567.6</v>
      </c>
      <c r="M145" s="6">
        <f t="shared" si="0"/>
        <v>2432.4</v>
      </c>
      <c r="N145" s="11" t="s">
        <v>194</v>
      </c>
      <c r="O145" s="13">
        <f>-132.8-207.9-2.6</f>
        <v>-343.30000000000007</v>
      </c>
      <c r="P145" s="12">
        <f>SUM(M145+O145)</f>
        <v>2089.1</v>
      </c>
      <c r="Q145" s="11" t="s">
        <v>212</v>
      </c>
      <c r="R145" s="13">
        <f>-180.7-4.8</f>
        <v>-185.5</v>
      </c>
      <c r="S145" s="12">
        <f t="shared" si="2"/>
        <v>1903.6</v>
      </c>
      <c r="T145" s="11" t="s">
        <v>307</v>
      </c>
    </row>
    <row r="146" spans="1:20" ht="155.25" customHeight="1">
      <c r="A146" s="1"/>
      <c r="B146" s="2"/>
      <c r="C146" s="3"/>
      <c r="D146" s="90" t="s">
        <v>165</v>
      </c>
      <c r="E146" s="90"/>
      <c r="F146" s="90"/>
      <c r="G146" s="90"/>
      <c r="H146" s="4" t="s">
        <v>2</v>
      </c>
      <c r="I146" s="4" t="s">
        <v>1</v>
      </c>
      <c r="J146" s="4" t="s">
        <v>6</v>
      </c>
      <c r="K146" s="5">
        <v>6750</v>
      </c>
      <c r="L146" s="5">
        <f>514.3+850+500+0.3</f>
        <v>1864.6</v>
      </c>
      <c r="M146" s="6">
        <f t="shared" si="0"/>
        <v>8614.6</v>
      </c>
      <c r="N146" s="11" t="s">
        <v>201</v>
      </c>
      <c r="O146" s="13">
        <f>132.8+207.9+200+500+2.6+130</f>
        <v>1173.3</v>
      </c>
      <c r="P146" s="12">
        <f t="shared" si="1"/>
        <v>9787.9</v>
      </c>
      <c r="Q146" s="11" t="s">
        <v>239</v>
      </c>
      <c r="R146" s="13">
        <f>3885.5+115+4.8</f>
        <v>4005.3</v>
      </c>
      <c r="S146" s="12">
        <f t="shared" si="2"/>
        <v>13793.2</v>
      </c>
      <c r="T146" s="17" t="s">
        <v>308</v>
      </c>
    </row>
    <row r="147" spans="1:20" ht="165.75" customHeight="1">
      <c r="A147" s="1"/>
      <c r="B147" s="2"/>
      <c r="C147" s="3"/>
      <c r="D147" s="90" t="s">
        <v>154</v>
      </c>
      <c r="E147" s="90"/>
      <c r="F147" s="90"/>
      <c r="G147" s="90"/>
      <c r="H147" s="4" t="s">
        <v>2</v>
      </c>
      <c r="I147" s="4" t="s">
        <v>1</v>
      </c>
      <c r="J147" s="4" t="s">
        <v>5</v>
      </c>
      <c r="K147" s="5">
        <v>33536.2</v>
      </c>
      <c r="L147" s="5">
        <v>-13.3</v>
      </c>
      <c r="M147" s="6">
        <f t="shared" si="0"/>
        <v>33522.899999999994</v>
      </c>
      <c r="N147" s="11" t="s">
        <v>195</v>
      </c>
      <c r="O147" s="13">
        <f>1.2-15.9</f>
        <v>-14.700000000000001</v>
      </c>
      <c r="P147" s="12">
        <f t="shared" si="1"/>
        <v>33508.2</v>
      </c>
      <c r="Q147" s="11" t="s">
        <v>236</v>
      </c>
      <c r="R147" s="13">
        <f>8.1+303.3+13502.7</f>
        <v>13814.1</v>
      </c>
      <c r="S147" s="12">
        <f t="shared" si="2"/>
        <v>47322.299999999996</v>
      </c>
      <c r="T147" s="11" t="s">
        <v>258</v>
      </c>
    </row>
    <row r="148" spans="1:20" ht="22.5" customHeight="1">
      <c r="A148" s="1"/>
      <c r="B148" s="2"/>
      <c r="C148" s="3"/>
      <c r="D148" s="90" t="s">
        <v>166</v>
      </c>
      <c r="E148" s="90"/>
      <c r="F148" s="90"/>
      <c r="G148" s="90"/>
      <c r="H148" s="4" t="s">
        <v>2</v>
      </c>
      <c r="I148" s="4" t="s">
        <v>1</v>
      </c>
      <c r="J148" s="4" t="s">
        <v>4</v>
      </c>
      <c r="K148" s="5">
        <v>0</v>
      </c>
      <c r="L148" s="5"/>
      <c r="M148" s="6">
        <f t="shared" si="0"/>
        <v>0</v>
      </c>
      <c r="N148" s="11"/>
      <c r="O148" s="13"/>
      <c r="P148" s="12">
        <f t="shared" si="1"/>
        <v>0</v>
      </c>
      <c r="Q148" s="11"/>
      <c r="R148" s="13"/>
      <c r="S148" s="12">
        <f t="shared" si="2"/>
        <v>0</v>
      </c>
      <c r="T148" s="11"/>
    </row>
    <row r="149" spans="1:20" ht="51.75" customHeight="1" thickBot="1">
      <c r="A149" s="1"/>
      <c r="B149" s="2"/>
      <c r="C149" s="3"/>
      <c r="D149" s="90" t="s">
        <v>167</v>
      </c>
      <c r="E149" s="90"/>
      <c r="F149" s="90"/>
      <c r="G149" s="91"/>
      <c r="H149" s="8" t="s">
        <v>2</v>
      </c>
      <c r="I149" s="8" t="s">
        <v>1</v>
      </c>
      <c r="J149" s="8" t="s">
        <v>0</v>
      </c>
      <c r="K149" s="9">
        <v>0</v>
      </c>
      <c r="L149" s="9"/>
      <c r="M149" s="10">
        <f t="shared" si="0"/>
        <v>0</v>
      </c>
      <c r="N149" s="15"/>
      <c r="O149" s="14"/>
      <c r="P149" s="12">
        <f t="shared" si="1"/>
        <v>0</v>
      </c>
      <c r="Q149" s="15"/>
      <c r="R149" s="14"/>
      <c r="S149" s="12">
        <f t="shared" si="2"/>
        <v>0</v>
      </c>
      <c r="T149" s="15"/>
    </row>
    <row r="150" spans="1:20" ht="15.75" customHeight="1" thickBot="1">
      <c r="A150" s="63"/>
      <c r="B150" s="64"/>
      <c r="C150" s="65"/>
      <c r="D150" s="66"/>
      <c r="E150" s="66"/>
      <c r="F150" s="65"/>
      <c r="G150" s="67" t="s">
        <v>168</v>
      </c>
      <c r="H150" s="68" t="s">
        <v>2</v>
      </c>
      <c r="I150" s="68" t="s">
        <v>1</v>
      </c>
      <c r="J150" s="68" t="s">
        <v>0</v>
      </c>
      <c r="K150" s="69">
        <f>SUM(K8+K16+K21+K23+K25+K31+K43+K45+K47+K55+K60+K73+K78+K86+K103+K105+K107+K114+K116+K129+K131+K140)</f>
        <v>3880787.2999999993</v>
      </c>
      <c r="L150" s="69">
        <f>SUM(L8+L16+L21+L23+L25+L31+L43+L45+L47+L55+L60+L73+L78+L86+L103+L105+L107+L114+L116+L129+L131+L140)</f>
        <v>158239.2</v>
      </c>
      <c r="M150" s="69">
        <f>SUM(M8+M16+M21+M23+M25+M31+M43+M45+M47+M55+M60+M73+M78+M86+M103+M105+M107+M114+M116+M129+M131+M140)</f>
        <v>4039026.4999999995</v>
      </c>
      <c r="N150" s="70"/>
      <c r="O150" s="71">
        <f>SUM(O8+O16+O21+O23+O25+O31+O43+O45+O47+O55+O60+O73+O78+O86+O103+O105+O107+O114+O116+O129+O131+O140)</f>
        <v>80667.7</v>
      </c>
      <c r="P150" s="72">
        <f>SUM(P8+P16+P21+P23+P25+P31+P43+P45+P47+P55+P60+P73+P78+P86+P103+P105+P107+P114+P116+P129+P131+P140)</f>
        <v>4119694.1999999997</v>
      </c>
      <c r="Q150" s="70"/>
      <c r="R150" s="71">
        <f>SUM(R8+R16+R21+R23+R25+R31+R43+R45+R47+R55+R60+R73+R78+R86+R103+R105+R107+R114+R116+R129+R131+R140)</f>
        <v>498291.8</v>
      </c>
      <c r="S150" s="72">
        <f>SUM(S8+S16+S21+S23+S25+S31+S43+S45+S47+S55+S60+S73+S78+S86+S103+S105+S107+S114+S116+S129+S131+S140)</f>
        <v>4617986</v>
      </c>
      <c r="T150" s="70"/>
    </row>
    <row r="151" spans="15:19" ht="12.75">
      <c r="O151" s="74"/>
      <c r="P151" s="74"/>
      <c r="R151" s="74"/>
      <c r="S151" s="74"/>
    </row>
    <row r="153" ht="12.75">
      <c r="R153" s="74"/>
    </row>
  </sheetData>
  <sheetProtection/>
  <mergeCells count="162">
    <mergeCell ref="G3:T3"/>
    <mergeCell ref="G2:K2"/>
    <mergeCell ref="B4:B6"/>
    <mergeCell ref="C4:C6"/>
    <mergeCell ref="D4:D6"/>
    <mergeCell ref="G4:G6"/>
    <mergeCell ref="H4:J6"/>
    <mergeCell ref="K4:K6"/>
    <mergeCell ref="L4:L6"/>
    <mergeCell ref="M4:M6"/>
    <mergeCell ref="N4:N6"/>
    <mergeCell ref="O4:O6"/>
    <mergeCell ref="P4:P6"/>
    <mergeCell ref="Q4:Q6"/>
    <mergeCell ref="H7:J7"/>
    <mergeCell ref="B8:G8"/>
    <mergeCell ref="C9:G9"/>
    <mergeCell ref="D10:G10"/>
    <mergeCell ref="C11:G11"/>
    <mergeCell ref="D12:G12"/>
    <mergeCell ref="C13:G13"/>
    <mergeCell ref="D14:G14"/>
    <mergeCell ref="D15:G15"/>
    <mergeCell ref="B16:G16"/>
    <mergeCell ref="D17:G17"/>
    <mergeCell ref="D18:G18"/>
    <mergeCell ref="D19:G19"/>
    <mergeCell ref="D20:G20"/>
    <mergeCell ref="B21:G21"/>
    <mergeCell ref="D22:G22"/>
    <mergeCell ref="B23:G23"/>
    <mergeCell ref="D24:G24"/>
    <mergeCell ref="B25:G25"/>
    <mergeCell ref="C26:G26"/>
    <mergeCell ref="D27:G27"/>
    <mergeCell ref="D28:G28"/>
    <mergeCell ref="C29:G29"/>
    <mergeCell ref="D30:G30"/>
    <mergeCell ref="B31:G31"/>
    <mergeCell ref="C32:G32"/>
    <mergeCell ref="D33:G33"/>
    <mergeCell ref="D34:G34"/>
    <mergeCell ref="D35:G35"/>
    <mergeCell ref="D36:G36"/>
    <mergeCell ref="C37:G37"/>
    <mergeCell ref="D38:G38"/>
    <mergeCell ref="D39:G39"/>
    <mergeCell ref="C40:G40"/>
    <mergeCell ref="D41:G41"/>
    <mergeCell ref="B43:G43"/>
    <mergeCell ref="D44:G44"/>
    <mergeCell ref="B45:G45"/>
    <mergeCell ref="D46:G46"/>
    <mergeCell ref="B47:G47"/>
    <mergeCell ref="C48:G48"/>
    <mergeCell ref="D49:G49"/>
    <mergeCell ref="D50:G50"/>
    <mergeCell ref="C52:G52"/>
    <mergeCell ref="D53:G53"/>
    <mergeCell ref="D54:G54"/>
    <mergeCell ref="B55:G55"/>
    <mergeCell ref="D56:G56"/>
    <mergeCell ref="D57:G57"/>
    <mergeCell ref="D58:G58"/>
    <mergeCell ref="D59:G59"/>
    <mergeCell ref="B60:G60"/>
    <mergeCell ref="C61:G61"/>
    <mergeCell ref="D62:G62"/>
    <mergeCell ref="C63:G63"/>
    <mergeCell ref="D64:G64"/>
    <mergeCell ref="D65:G65"/>
    <mergeCell ref="C66:G66"/>
    <mergeCell ref="D67:G67"/>
    <mergeCell ref="D68:G68"/>
    <mergeCell ref="C69:G69"/>
    <mergeCell ref="D70:G70"/>
    <mergeCell ref="B73:G73"/>
    <mergeCell ref="C74:G74"/>
    <mergeCell ref="D75:G75"/>
    <mergeCell ref="D76:G76"/>
    <mergeCell ref="D77:G77"/>
    <mergeCell ref="B78:G78"/>
    <mergeCell ref="C79:G79"/>
    <mergeCell ref="D80:G80"/>
    <mergeCell ref="D81:G81"/>
    <mergeCell ref="C82:G82"/>
    <mergeCell ref="D83:G83"/>
    <mergeCell ref="C84:G84"/>
    <mergeCell ref="D85:G85"/>
    <mergeCell ref="B86:G86"/>
    <mergeCell ref="C87:G87"/>
    <mergeCell ref="D88:G88"/>
    <mergeCell ref="D89:G89"/>
    <mergeCell ref="C92:G92"/>
    <mergeCell ref="D93:G93"/>
    <mergeCell ref="D94:G94"/>
    <mergeCell ref="D95:G95"/>
    <mergeCell ref="D96:G96"/>
    <mergeCell ref="C97:G97"/>
    <mergeCell ref="D98:G98"/>
    <mergeCell ref="C99:G99"/>
    <mergeCell ref="D100:G100"/>
    <mergeCell ref="C101:G101"/>
    <mergeCell ref="D102:G102"/>
    <mergeCell ref="B103:G103"/>
    <mergeCell ref="D104:G104"/>
    <mergeCell ref="B105:G105"/>
    <mergeCell ref="D106:G106"/>
    <mergeCell ref="B107:G107"/>
    <mergeCell ref="C108:G108"/>
    <mergeCell ref="D109:G109"/>
    <mergeCell ref="D110:G110"/>
    <mergeCell ref="D111:G111"/>
    <mergeCell ref="C112:G112"/>
    <mergeCell ref="D113:G113"/>
    <mergeCell ref="B114:G114"/>
    <mergeCell ref="D115:G115"/>
    <mergeCell ref="B116:G116"/>
    <mergeCell ref="D119:G119"/>
    <mergeCell ref="D120:G120"/>
    <mergeCell ref="D121:G121"/>
    <mergeCell ref="C122:G122"/>
    <mergeCell ref="D123:G123"/>
    <mergeCell ref="C117:G118"/>
    <mergeCell ref="D124:G124"/>
    <mergeCell ref="C125:G125"/>
    <mergeCell ref="D126:G126"/>
    <mergeCell ref="D127:G127"/>
    <mergeCell ref="D128:G128"/>
    <mergeCell ref="B129:G129"/>
    <mergeCell ref="D130:G130"/>
    <mergeCell ref="B131:G131"/>
    <mergeCell ref="C132:G132"/>
    <mergeCell ref="D133:G133"/>
    <mergeCell ref="D134:G134"/>
    <mergeCell ref="C135:G135"/>
    <mergeCell ref="D147:G147"/>
    <mergeCell ref="D136:G136"/>
    <mergeCell ref="C137:G137"/>
    <mergeCell ref="D138:G138"/>
    <mergeCell ref="D139:G139"/>
    <mergeCell ref="B140:G140"/>
    <mergeCell ref="C141:G141"/>
    <mergeCell ref="D148:G148"/>
    <mergeCell ref="D149:G149"/>
    <mergeCell ref="R4:R6"/>
    <mergeCell ref="S4:S6"/>
    <mergeCell ref="T4:T6"/>
    <mergeCell ref="D142:G142"/>
    <mergeCell ref="D143:G143"/>
    <mergeCell ref="D144:G144"/>
    <mergeCell ref="D145:G145"/>
    <mergeCell ref="D146:G146"/>
    <mergeCell ref="R117:R118"/>
    <mergeCell ref="S117:S118"/>
    <mergeCell ref="T117:T118"/>
    <mergeCell ref="K117:K118"/>
    <mergeCell ref="H117:H118"/>
    <mergeCell ref="I117:I118"/>
    <mergeCell ref="J117:J118"/>
    <mergeCell ref="M117:M118"/>
    <mergeCell ref="P117:P118"/>
  </mergeCells>
  <printOptions/>
  <pageMargins left="0.3937007874015748" right="0.3937007874015748" top="0.7874015748031497" bottom="0.1968503937007874" header="0.5118110236220472" footer="0.5118110236220472"/>
  <pageSetup fitToHeight="14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2017-11-01T10:38:24Z</cp:lastPrinted>
  <dcterms:created xsi:type="dcterms:W3CDTF">2017-03-23T10:31:16Z</dcterms:created>
  <dcterms:modified xsi:type="dcterms:W3CDTF">2017-11-01T10:39:44Z</dcterms:modified>
  <cp:category/>
  <cp:version/>
  <cp:contentType/>
  <cp:contentStatus/>
</cp:coreProperties>
</file>