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a\Downloads\"/>
    </mc:Choice>
  </mc:AlternateContent>
  <xr:revisionPtr revIDLastSave="0" documentId="13_ncr:1_{9672C57D-401F-472D-B251-834B25511636}" xr6:coauthVersionLast="47" xr6:coauthVersionMax="47" xr10:uidLastSave="{00000000-0000-0000-0000-000000000000}"/>
  <bookViews>
    <workbookView xWindow="2520" yWindow="1116" windowWidth="18936" windowHeight="10968" firstSheet="1" activeTab="1" xr2:uid="{00000000-000D-0000-FFFF-FFFF00000000}"/>
  </bookViews>
  <sheets>
    <sheet name="приложение" sheetId="2" state="hidden" r:id="rId1"/>
    <sheet name="приложение (2)" sheetId="3" r:id="rId2"/>
  </sheets>
  <definedNames>
    <definedName name="_xlnm.Print_Titles" localSheetId="0">приложение!$5:$7</definedName>
    <definedName name="_xlnm.Print_Titles" localSheetId="1">'приложение (2)'!$5:$7</definedName>
    <definedName name="_xlnm.Print_Area" localSheetId="0">приложение!$D$1:$W$210</definedName>
    <definedName name="_xlnm.Print_Area" localSheetId="1">'приложение (2)'!$D$1:$P$211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0" i="3" l="1"/>
  <c r="O31" i="3" l="1"/>
  <c r="N40" i="3"/>
  <c r="N68" i="3" l="1"/>
  <c r="N58" i="3" l="1"/>
  <c r="N154" i="3" l="1"/>
  <c r="N207" i="3" l="1"/>
  <c r="N179" i="3"/>
  <c r="N163" i="3"/>
  <c r="N157" i="3"/>
  <c r="N108" i="3"/>
  <c r="N92" i="3"/>
  <c r="N81" i="3"/>
  <c r="N77" i="3" s="1"/>
  <c r="O210" i="3" l="1"/>
  <c r="O209" i="3"/>
  <c r="O208" i="3"/>
  <c r="O207" i="3"/>
  <c r="O206" i="3"/>
  <c r="O205" i="3"/>
  <c r="O204" i="3"/>
  <c r="N203" i="3"/>
  <c r="M203" i="3"/>
  <c r="O202" i="3"/>
  <c r="O201" i="3"/>
  <c r="O200" i="3"/>
  <c r="N199" i="3"/>
  <c r="O199" i="3" s="1"/>
  <c r="N198" i="3"/>
  <c r="M198" i="3"/>
  <c r="O197" i="3"/>
  <c r="N196" i="3"/>
  <c r="O196" i="3" s="1"/>
  <c r="O195" i="3"/>
  <c r="O194" i="3"/>
  <c r="O193" i="3"/>
  <c r="O192" i="3"/>
  <c r="O191" i="3"/>
  <c r="N188" i="3"/>
  <c r="N187" i="3" s="1"/>
  <c r="O189" i="3"/>
  <c r="M188" i="3"/>
  <c r="N186" i="3"/>
  <c r="O186" i="3" s="1"/>
  <c r="N185" i="3"/>
  <c r="M185" i="3"/>
  <c r="N184" i="3"/>
  <c r="O184" i="3" s="1"/>
  <c r="M183" i="3"/>
  <c r="O182" i="3"/>
  <c r="M181" i="3"/>
  <c r="O181" i="3" s="1"/>
  <c r="O179" i="3"/>
  <c r="O178" i="3"/>
  <c r="O177" i="3"/>
  <c r="O176" i="3"/>
  <c r="N175" i="3"/>
  <c r="M175" i="3"/>
  <c r="O174" i="3"/>
  <c r="O173" i="3"/>
  <c r="O172" i="3"/>
  <c r="O171" i="3"/>
  <c r="O170" i="3"/>
  <c r="O169" i="3"/>
  <c r="O168" i="3"/>
  <c r="N167" i="3"/>
  <c r="M167" i="3"/>
  <c r="O165" i="3"/>
  <c r="O164" i="3"/>
  <c r="O163" i="3"/>
  <c r="N162" i="3"/>
  <c r="M162" i="3"/>
  <c r="O161" i="3"/>
  <c r="N160" i="3"/>
  <c r="M160" i="3"/>
  <c r="O159" i="3"/>
  <c r="O158" i="3"/>
  <c r="O157" i="3"/>
  <c r="N156" i="3"/>
  <c r="M156" i="3"/>
  <c r="O154" i="3"/>
  <c r="O153" i="3" s="1"/>
  <c r="N153" i="3"/>
  <c r="M153" i="3"/>
  <c r="O152" i="3"/>
  <c r="O151" i="3"/>
  <c r="N150" i="3"/>
  <c r="M150" i="3"/>
  <c r="O149" i="3"/>
  <c r="N148" i="3"/>
  <c r="M148" i="3"/>
  <c r="O147" i="3"/>
  <c r="O146" i="3"/>
  <c r="O145" i="3"/>
  <c r="O144" i="3"/>
  <c r="O143" i="3"/>
  <c r="N142" i="3"/>
  <c r="M142" i="3"/>
  <c r="O140" i="3"/>
  <c r="O139" i="3"/>
  <c r="O138" i="3"/>
  <c r="N137" i="3"/>
  <c r="M137" i="3"/>
  <c r="O136" i="3"/>
  <c r="O135" i="3"/>
  <c r="O134" i="3"/>
  <c r="O133" i="3"/>
  <c r="N132" i="3"/>
  <c r="N131" i="3" s="1"/>
  <c r="M132" i="3"/>
  <c r="O130" i="3"/>
  <c r="O129" i="3"/>
  <c r="O128" i="3"/>
  <c r="N128" i="3"/>
  <c r="M128" i="3"/>
  <c r="O127" i="3"/>
  <c r="N126" i="3"/>
  <c r="M126" i="3"/>
  <c r="O126" i="3" s="1"/>
  <c r="O125" i="3"/>
  <c r="O124" i="3" s="1"/>
  <c r="N124" i="3"/>
  <c r="M124" i="3"/>
  <c r="O123" i="3"/>
  <c r="N122" i="3"/>
  <c r="M122" i="3"/>
  <c r="O121" i="3"/>
  <c r="N120" i="3"/>
  <c r="O120" i="3" s="1"/>
  <c r="M120" i="3"/>
  <c r="O119" i="3"/>
  <c r="O118" i="3"/>
  <c r="O117" i="3"/>
  <c r="O116" i="3"/>
  <c r="N115" i="3"/>
  <c r="M115" i="3"/>
  <c r="O114" i="3"/>
  <c r="O113" i="3"/>
  <c r="O112" i="3"/>
  <c r="O111" i="3"/>
  <c r="N110" i="3"/>
  <c r="M110" i="3"/>
  <c r="O108" i="3"/>
  <c r="O107" i="3" s="1"/>
  <c r="N107" i="3"/>
  <c r="M107" i="3"/>
  <c r="O106" i="3"/>
  <c r="N105" i="3"/>
  <c r="M105" i="3"/>
  <c r="O104" i="3"/>
  <c r="O103" i="3"/>
  <c r="O102" i="3"/>
  <c r="N101" i="3"/>
  <c r="M101" i="3"/>
  <c r="O99" i="3"/>
  <c r="N98" i="3"/>
  <c r="O98" i="3" s="1"/>
  <c r="N97" i="3"/>
  <c r="O96" i="3"/>
  <c r="M95" i="3"/>
  <c r="O94" i="3"/>
  <c r="N93" i="3"/>
  <c r="M93" i="3"/>
  <c r="O93" i="3" s="1"/>
  <c r="O92" i="3"/>
  <c r="O91" i="3"/>
  <c r="O90" i="3"/>
  <c r="O89" i="3"/>
  <c r="N88" i="3"/>
  <c r="M88" i="3"/>
  <c r="O87" i="3"/>
  <c r="O86" i="3"/>
  <c r="N85" i="3"/>
  <c r="O85" i="3" s="1"/>
  <c r="M85" i="3"/>
  <c r="O84" i="3"/>
  <c r="N83" i="3"/>
  <c r="M83" i="3"/>
  <c r="O81" i="3"/>
  <c r="O80" i="3"/>
  <c r="O79" i="3"/>
  <c r="O78" i="3"/>
  <c r="O77" i="3"/>
  <c r="M77" i="3"/>
  <c r="O76" i="3"/>
  <c r="O75" i="3"/>
  <c r="N74" i="3"/>
  <c r="M74" i="3"/>
  <c r="O73" i="3"/>
  <c r="O72" i="3"/>
  <c r="O71" i="3"/>
  <c r="O70" i="3"/>
  <c r="N69" i="3"/>
  <c r="M69" i="3"/>
  <c r="O68" i="3"/>
  <c r="O67" i="3"/>
  <c r="O66" i="3"/>
  <c r="O65" i="3"/>
  <c r="N64" i="3"/>
  <c r="N63" i="3" s="1"/>
  <c r="M64" i="3"/>
  <c r="O62" i="3"/>
  <c r="N61" i="3"/>
  <c r="M61" i="3"/>
  <c r="O61" i="3" s="1"/>
  <c r="O60" i="3"/>
  <c r="N59" i="3"/>
  <c r="M59" i="3"/>
  <c r="O58" i="3"/>
  <c r="O57" i="3" s="1"/>
  <c r="N57" i="3"/>
  <c r="M57" i="3"/>
  <c r="O56" i="3"/>
  <c r="O55" i="3"/>
  <c r="O54" i="3"/>
  <c r="N53" i="3"/>
  <c r="M53" i="3"/>
  <c r="O53" i="3" s="1"/>
  <c r="O52" i="3"/>
  <c r="O51" i="3"/>
  <c r="O50" i="3"/>
  <c r="O49" i="3"/>
  <c r="O48" i="3"/>
  <c r="N47" i="3"/>
  <c r="M47" i="3"/>
  <c r="O45" i="3"/>
  <c r="O44" i="3" s="1"/>
  <c r="N44" i="3"/>
  <c r="M44" i="3"/>
  <c r="O43" i="3"/>
  <c r="O42" i="3" s="1"/>
  <c r="N42" i="3"/>
  <c r="M42" i="3"/>
  <c r="M41" i="3" s="1"/>
  <c r="O40" i="3"/>
  <c r="O39" i="3" s="1"/>
  <c r="N39" i="3"/>
  <c r="M39" i="3"/>
  <c r="O38" i="3"/>
  <c r="O37" i="3"/>
  <c r="M35" i="3"/>
  <c r="O35" i="3" s="1"/>
  <c r="O34" i="3"/>
  <c r="O33" i="3"/>
  <c r="O32" i="3"/>
  <c r="N30" i="3"/>
  <c r="M30" i="3"/>
  <c r="O28" i="3"/>
  <c r="O27" i="3"/>
  <c r="N26" i="3"/>
  <c r="M26" i="3"/>
  <c r="O25" i="3"/>
  <c r="O24" i="3"/>
  <c r="N23" i="3"/>
  <c r="M23" i="3"/>
  <c r="M22" i="3"/>
  <c r="O21" i="3"/>
  <c r="O20" i="3"/>
  <c r="O19" i="3"/>
  <c r="O18" i="3"/>
  <c r="N17" i="3"/>
  <c r="M17" i="3"/>
  <c r="O17" i="3" s="1"/>
  <c r="O16" i="3"/>
  <c r="O15" i="3"/>
  <c r="N14" i="3"/>
  <c r="M14" i="3"/>
  <c r="O13" i="3"/>
  <c r="O12" i="3" s="1"/>
  <c r="N12" i="3"/>
  <c r="M12" i="3"/>
  <c r="O11" i="3"/>
  <c r="O10" i="3" s="1"/>
  <c r="N10" i="3"/>
  <c r="M10" i="3"/>
  <c r="U209" i="2"/>
  <c r="R209" i="2"/>
  <c r="O209" i="2"/>
  <c r="U208" i="2"/>
  <c r="R208" i="2"/>
  <c r="O208" i="2"/>
  <c r="T207" i="2"/>
  <c r="U207" i="2" s="1"/>
  <c r="R207" i="2"/>
  <c r="Q207" i="2"/>
  <c r="Q202" i="2" s="1"/>
  <c r="O207" i="2"/>
  <c r="T206" i="2"/>
  <c r="U206" i="2" s="1"/>
  <c r="R206" i="2"/>
  <c r="Q206" i="2"/>
  <c r="N206" i="2"/>
  <c r="O206" i="2" s="1"/>
  <c r="O202" i="2" s="1"/>
  <c r="U205" i="2"/>
  <c r="R205" i="2"/>
  <c r="O205" i="2"/>
  <c r="U204" i="2"/>
  <c r="R204" i="2"/>
  <c r="O204" i="2"/>
  <c r="T203" i="2"/>
  <c r="T202" i="2" s="1"/>
  <c r="U202" i="2" s="1"/>
  <c r="R203" i="2"/>
  <c r="R202" i="2" s="1"/>
  <c r="O203" i="2"/>
  <c r="N202" i="2"/>
  <c r="M202" i="2"/>
  <c r="U201" i="2"/>
  <c r="Q201" i="2"/>
  <c r="R201" i="2" s="1"/>
  <c r="O201" i="2"/>
  <c r="N201" i="2"/>
  <c r="U200" i="2"/>
  <c r="R200" i="2"/>
  <c r="O200" i="2"/>
  <c r="U199" i="2"/>
  <c r="R199" i="2"/>
  <c r="O199" i="2"/>
  <c r="U198" i="2"/>
  <c r="Q198" i="2"/>
  <c r="Q197" i="2" s="1"/>
  <c r="O198" i="2"/>
  <c r="U197" i="2"/>
  <c r="T197" i="2"/>
  <c r="N197" i="2"/>
  <c r="M197" i="2"/>
  <c r="O197" i="2" s="1"/>
  <c r="U195" i="2"/>
  <c r="U194" i="2"/>
  <c r="R194" i="2"/>
  <c r="O194" i="2"/>
  <c r="U193" i="2"/>
  <c r="R193" i="2"/>
  <c r="O193" i="2"/>
  <c r="U192" i="2"/>
  <c r="R192" i="2"/>
  <c r="O192" i="2"/>
  <c r="U191" i="2"/>
  <c r="R191" i="2"/>
  <c r="O191" i="2"/>
  <c r="U190" i="2"/>
  <c r="R190" i="2"/>
  <c r="O190" i="2"/>
  <c r="U189" i="2"/>
  <c r="T189" i="2"/>
  <c r="R189" i="2"/>
  <c r="Q189" i="2"/>
  <c r="N189" i="2"/>
  <c r="M189" i="2"/>
  <c r="O189" i="2" s="1"/>
  <c r="O188" i="2" s="1"/>
  <c r="T188" i="2"/>
  <c r="U188" i="2" s="1"/>
  <c r="N188" i="2"/>
  <c r="U187" i="2"/>
  <c r="R187" i="2"/>
  <c r="O187" i="2"/>
  <c r="T186" i="2"/>
  <c r="U186" i="2" s="1"/>
  <c r="R186" i="2"/>
  <c r="Q186" i="2"/>
  <c r="O186" i="2"/>
  <c r="T185" i="2"/>
  <c r="T184" i="2" s="1"/>
  <c r="U184" i="2" s="1"/>
  <c r="R185" i="2"/>
  <c r="R184" i="2" s="1"/>
  <c r="Q185" i="2"/>
  <c r="Q184" i="2" s="1"/>
  <c r="O185" i="2"/>
  <c r="O184" i="2"/>
  <c r="N184" i="2"/>
  <c r="M184" i="2"/>
  <c r="U183" i="2"/>
  <c r="R183" i="2"/>
  <c r="O183" i="2"/>
  <c r="U182" i="2"/>
  <c r="T182" i="2"/>
  <c r="Q182" i="2"/>
  <c r="R182" i="2" s="1"/>
  <c r="N182" i="2"/>
  <c r="M182" i="2"/>
  <c r="O182" i="2" s="1"/>
  <c r="O177" i="2" s="1"/>
  <c r="U181" i="2"/>
  <c r="R181" i="2"/>
  <c r="O181" i="2"/>
  <c r="U180" i="2"/>
  <c r="R180" i="2"/>
  <c r="O180" i="2"/>
  <c r="T179" i="2"/>
  <c r="U179" i="2" s="1"/>
  <c r="Q179" i="2"/>
  <c r="P179" i="2"/>
  <c r="R179" i="2" s="1"/>
  <c r="O179" i="2"/>
  <c r="U178" i="2"/>
  <c r="T178" i="2"/>
  <c r="T177" i="2" s="1"/>
  <c r="U177" i="2" s="1"/>
  <c r="Q178" i="2"/>
  <c r="Q177" i="2" s="1"/>
  <c r="P178" i="2"/>
  <c r="P177" i="2" s="1"/>
  <c r="O178" i="2"/>
  <c r="N178" i="2"/>
  <c r="M178" i="2"/>
  <c r="N177" i="2"/>
  <c r="M177" i="2"/>
  <c r="U176" i="2"/>
  <c r="R176" i="2"/>
  <c r="R175" i="2" s="1"/>
  <c r="O176" i="2"/>
  <c r="T175" i="2"/>
  <c r="U175" i="2" s="1"/>
  <c r="Q175" i="2"/>
  <c r="O175" i="2"/>
  <c r="N175" i="2"/>
  <c r="M175" i="2"/>
  <c r="U174" i="2"/>
  <c r="R174" i="2"/>
  <c r="O174" i="2"/>
  <c r="U173" i="2"/>
  <c r="T173" i="2"/>
  <c r="Q173" i="2"/>
  <c r="R173" i="2" s="1"/>
  <c r="N173" i="2"/>
  <c r="M173" i="2"/>
  <c r="O173" i="2" s="1"/>
  <c r="U172" i="2"/>
  <c r="R172" i="2"/>
  <c r="O172" i="2"/>
  <c r="T171" i="2"/>
  <c r="U171" i="2" s="1"/>
  <c r="R171" i="2"/>
  <c r="Q171" i="2"/>
  <c r="O171" i="2"/>
  <c r="U170" i="2"/>
  <c r="R170" i="2"/>
  <c r="N170" i="2"/>
  <c r="O170" i="2" s="1"/>
  <c r="Q169" i="2"/>
  <c r="R169" i="2" s="1"/>
  <c r="M169" i="2"/>
  <c r="U168" i="2"/>
  <c r="R168" i="2"/>
  <c r="O168" i="2"/>
  <c r="U167" i="2"/>
  <c r="R167" i="2"/>
  <c r="O167" i="2"/>
  <c r="U166" i="2"/>
  <c r="R166" i="2"/>
  <c r="O166" i="2"/>
  <c r="U165" i="2"/>
  <c r="R165" i="2"/>
  <c r="N165" i="2"/>
  <c r="O165" i="2" s="1"/>
  <c r="U164" i="2"/>
  <c r="R164" i="2"/>
  <c r="O164" i="2"/>
  <c r="T163" i="2"/>
  <c r="T162" i="2" s="1"/>
  <c r="U162" i="2" s="1"/>
  <c r="Q163" i="2"/>
  <c r="Q162" i="2" s="1"/>
  <c r="R162" i="2" s="1"/>
  <c r="N163" i="2"/>
  <c r="O163" i="2" s="1"/>
  <c r="M162" i="2"/>
  <c r="U161" i="2"/>
  <c r="R161" i="2"/>
  <c r="O161" i="2"/>
  <c r="U160" i="2"/>
  <c r="R160" i="2"/>
  <c r="O160" i="2"/>
  <c r="U159" i="2"/>
  <c r="T159" i="2"/>
  <c r="R159" i="2"/>
  <c r="Q159" i="2"/>
  <c r="O159" i="2"/>
  <c r="U158" i="2"/>
  <c r="R158" i="2"/>
  <c r="O158" i="2"/>
  <c r="U157" i="2"/>
  <c r="R157" i="2"/>
  <c r="O157" i="2"/>
  <c r="U156" i="2"/>
  <c r="R156" i="2"/>
  <c r="O156" i="2"/>
  <c r="U155" i="2"/>
  <c r="T155" i="2"/>
  <c r="Q155" i="2"/>
  <c r="Q152" i="2" s="1"/>
  <c r="O155" i="2"/>
  <c r="N155" i="2"/>
  <c r="T154" i="2"/>
  <c r="T152" i="2" s="1"/>
  <c r="R154" i="2"/>
  <c r="O154" i="2"/>
  <c r="N152" i="2"/>
  <c r="M152" i="2"/>
  <c r="M151" i="2" s="1"/>
  <c r="U150" i="2"/>
  <c r="T150" i="2"/>
  <c r="R150" i="2"/>
  <c r="O150" i="2"/>
  <c r="U149" i="2"/>
  <c r="R149" i="2"/>
  <c r="O149" i="2"/>
  <c r="T148" i="2"/>
  <c r="U148" i="2" s="1"/>
  <c r="R148" i="2"/>
  <c r="Q148" i="2"/>
  <c r="N148" i="2"/>
  <c r="O148" i="2" s="1"/>
  <c r="M148" i="2"/>
  <c r="U147" i="2"/>
  <c r="R147" i="2"/>
  <c r="O147" i="2"/>
  <c r="T146" i="2"/>
  <c r="U146" i="2" s="1"/>
  <c r="Q146" i="2"/>
  <c r="R146" i="2" s="1"/>
  <c r="O146" i="2"/>
  <c r="N146" i="2"/>
  <c r="M146" i="2"/>
  <c r="U145" i="2"/>
  <c r="R145" i="2"/>
  <c r="O145" i="2"/>
  <c r="U144" i="2"/>
  <c r="R144" i="2"/>
  <c r="O144" i="2"/>
  <c r="U143" i="2"/>
  <c r="R143" i="2"/>
  <c r="O143" i="2"/>
  <c r="U142" i="2"/>
  <c r="R142" i="2"/>
  <c r="O142" i="2"/>
  <c r="U141" i="2"/>
  <c r="T141" i="2"/>
  <c r="Q141" i="2"/>
  <c r="Q140" i="2" s="1"/>
  <c r="R140" i="2" s="1"/>
  <c r="N141" i="2"/>
  <c r="N140" i="2" s="1"/>
  <c r="M141" i="2"/>
  <c r="M140" i="2" s="1"/>
  <c r="O140" i="2" s="1"/>
  <c r="T140" i="2"/>
  <c r="U140" i="2" s="1"/>
  <c r="U139" i="2"/>
  <c r="R139" i="2"/>
  <c r="O139" i="2"/>
  <c r="U138" i="2"/>
  <c r="R138" i="2"/>
  <c r="O138" i="2"/>
  <c r="O136" i="2" s="1"/>
  <c r="U137" i="2"/>
  <c r="R137" i="2"/>
  <c r="R136" i="2" s="1"/>
  <c r="O137" i="2"/>
  <c r="T136" i="2"/>
  <c r="U136" i="2" s="1"/>
  <c r="Q136" i="2"/>
  <c r="N136" i="2"/>
  <c r="M136" i="2"/>
  <c r="U135" i="2"/>
  <c r="R135" i="2"/>
  <c r="O135" i="2"/>
  <c r="U134" i="2"/>
  <c r="R134" i="2"/>
  <c r="O134" i="2"/>
  <c r="U133" i="2"/>
  <c r="R133" i="2"/>
  <c r="O133" i="2"/>
  <c r="U132" i="2"/>
  <c r="R132" i="2"/>
  <c r="O132" i="2"/>
  <c r="T131" i="2"/>
  <c r="T130" i="2" s="1"/>
  <c r="U130" i="2" s="1"/>
  <c r="R131" i="2"/>
  <c r="Q131" i="2"/>
  <c r="N131" i="2"/>
  <c r="M131" i="2"/>
  <c r="O131" i="2" s="1"/>
  <c r="R130" i="2"/>
  <c r="Q130" i="2"/>
  <c r="N130" i="2"/>
  <c r="M130" i="2"/>
  <c r="O130" i="2" s="1"/>
  <c r="U129" i="2"/>
  <c r="R129" i="2"/>
  <c r="Q129" i="2"/>
  <c r="O129" i="2"/>
  <c r="U128" i="2"/>
  <c r="R128" i="2"/>
  <c r="O128" i="2"/>
  <c r="U127" i="2"/>
  <c r="T127" i="2"/>
  <c r="Q127" i="2"/>
  <c r="R127" i="2" s="1"/>
  <c r="N127" i="2"/>
  <c r="O127" i="2" s="1"/>
  <c r="M127" i="2"/>
  <c r="U126" i="2"/>
  <c r="R126" i="2"/>
  <c r="O126" i="2"/>
  <c r="T125" i="2"/>
  <c r="U125" i="2" s="1"/>
  <c r="R125" i="2"/>
  <c r="Q125" i="2"/>
  <c r="N125" i="2"/>
  <c r="M125" i="2"/>
  <c r="O125" i="2" s="1"/>
  <c r="U124" i="2"/>
  <c r="R124" i="2"/>
  <c r="R123" i="2" s="1"/>
  <c r="O124" i="2"/>
  <c r="U123" i="2"/>
  <c r="T123" i="2"/>
  <c r="Q123" i="2"/>
  <c r="O123" i="2"/>
  <c r="N123" i="2"/>
  <c r="M123" i="2"/>
  <c r="U122" i="2"/>
  <c r="R122" i="2"/>
  <c r="O122" i="2"/>
  <c r="U121" i="2"/>
  <c r="T121" i="2"/>
  <c r="R121" i="2"/>
  <c r="Q121" i="2"/>
  <c r="N121" i="2"/>
  <c r="M121" i="2"/>
  <c r="O121" i="2" s="1"/>
  <c r="U120" i="2"/>
  <c r="R120" i="2"/>
  <c r="O120" i="2"/>
  <c r="T119" i="2"/>
  <c r="U119" i="2" s="1"/>
  <c r="R119" i="2"/>
  <c r="Q119" i="2"/>
  <c r="O119" i="2"/>
  <c r="N119" i="2"/>
  <c r="M119" i="2"/>
  <c r="U118" i="2"/>
  <c r="R118" i="2"/>
  <c r="O118" i="2"/>
  <c r="U117" i="2"/>
  <c r="R117" i="2"/>
  <c r="R114" i="2" s="1"/>
  <c r="O117" i="2"/>
  <c r="U116" i="2"/>
  <c r="R116" i="2"/>
  <c r="O116" i="2"/>
  <c r="U115" i="2"/>
  <c r="R115" i="2"/>
  <c r="N115" i="2"/>
  <c r="O115" i="2" s="1"/>
  <c r="O114" i="2" s="1"/>
  <c r="U114" i="2"/>
  <c r="T114" i="2"/>
  <c r="Q114" i="2"/>
  <c r="N114" i="2"/>
  <c r="M114" i="2"/>
  <c r="U113" i="2"/>
  <c r="R113" i="2"/>
  <c r="O113" i="2"/>
  <c r="U112" i="2"/>
  <c r="Q112" i="2"/>
  <c r="R112" i="2" s="1"/>
  <c r="O112" i="2"/>
  <c r="U111" i="2"/>
  <c r="Q111" i="2"/>
  <c r="Q109" i="2" s="1"/>
  <c r="O111" i="2"/>
  <c r="U110" i="2"/>
  <c r="R110" i="2"/>
  <c r="O110" i="2"/>
  <c r="U109" i="2"/>
  <c r="T109" i="2"/>
  <c r="N109" i="2"/>
  <c r="N108" i="2" s="1"/>
  <c r="M109" i="2"/>
  <c r="M108" i="2" s="1"/>
  <c r="O108" i="2" s="1"/>
  <c r="U107" i="2"/>
  <c r="R107" i="2"/>
  <c r="O107" i="2"/>
  <c r="O106" i="2" s="1"/>
  <c r="T106" i="2"/>
  <c r="U106" i="2" s="1"/>
  <c r="R106" i="2"/>
  <c r="Q106" i="2"/>
  <c r="N106" i="2"/>
  <c r="M106" i="2"/>
  <c r="U105" i="2"/>
  <c r="R105" i="2"/>
  <c r="O105" i="2"/>
  <c r="U104" i="2"/>
  <c r="T104" i="2"/>
  <c r="Q104" i="2"/>
  <c r="R104" i="2" s="1"/>
  <c r="N104" i="2"/>
  <c r="O104" i="2" s="1"/>
  <c r="M104" i="2"/>
  <c r="U103" i="2"/>
  <c r="U102" i="2"/>
  <c r="R102" i="2"/>
  <c r="O102" i="2"/>
  <c r="U101" i="2"/>
  <c r="R101" i="2"/>
  <c r="O101" i="2"/>
  <c r="T100" i="2"/>
  <c r="T99" i="2" s="1"/>
  <c r="U99" i="2" s="1"/>
  <c r="Q100" i="2"/>
  <c r="R100" i="2" s="1"/>
  <c r="O100" i="2"/>
  <c r="N100" i="2"/>
  <c r="M100" i="2"/>
  <c r="M99" i="2"/>
  <c r="U98" i="2"/>
  <c r="R98" i="2"/>
  <c r="O98" i="2"/>
  <c r="U97" i="2"/>
  <c r="R97" i="2"/>
  <c r="O97" i="2"/>
  <c r="N97" i="2"/>
  <c r="T96" i="2"/>
  <c r="U96" i="2" s="1"/>
  <c r="R96" i="2"/>
  <c r="Q96" i="2"/>
  <c r="O96" i="2"/>
  <c r="T95" i="2"/>
  <c r="T94" i="2" s="1"/>
  <c r="U94" i="2" s="1"/>
  <c r="R95" i="2"/>
  <c r="N95" i="2"/>
  <c r="O95" i="2" s="1"/>
  <c r="Q94" i="2"/>
  <c r="R94" i="2" s="1"/>
  <c r="N94" i="2"/>
  <c r="M94" i="2"/>
  <c r="O94" i="2" s="1"/>
  <c r="U93" i="2"/>
  <c r="R93" i="2"/>
  <c r="O93" i="2"/>
  <c r="U92" i="2"/>
  <c r="T92" i="2"/>
  <c r="R92" i="2"/>
  <c r="Q92" i="2"/>
  <c r="N92" i="2"/>
  <c r="M92" i="2"/>
  <c r="O92" i="2" s="1"/>
  <c r="T91" i="2"/>
  <c r="T87" i="2" s="1"/>
  <c r="U87" i="2" s="1"/>
  <c r="R91" i="2"/>
  <c r="O91" i="2"/>
  <c r="U90" i="2"/>
  <c r="R90" i="2"/>
  <c r="Q90" i="2"/>
  <c r="O90" i="2"/>
  <c r="U89" i="2"/>
  <c r="R89" i="2"/>
  <c r="O89" i="2"/>
  <c r="U88" i="2"/>
  <c r="Q88" i="2"/>
  <c r="Q87" i="2" s="1"/>
  <c r="R87" i="2" s="1"/>
  <c r="N88" i="2"/>
  <c r="O88" i="2" s="1"/>
  <c r="M87" i="2"/>
  <c r="U86" i="2"/>
  <c r="R86" i="2"/>
  <c r="O86" i="2"/>
  <c r="T85" i="2"/>
  <c r="T84" i="2" s="1"/>
  <c r="R85" i="2"/>
  <c r="O85" i="2"/>
  <c r="Q84" i="2"/>
  <c r="R84" i="2" s="1"/>
  <c r="O84" i="2"/>
  <c r="N84" i="2"/>
  <c r="M84" i="2"/>
  <c r="U83" i="2"/>
  <c r="Q83" i="2"/>
  <c r="Q82" i="2" s="1"/>
  <c r="O83" i="2"/>
  <c r="U82" i="2"/>
  <c r="T82" i="2"/>
  <c r="N82" i="2"/>
  <c r="M82" i="2"/>
  <c r="M81" i="2" s="1"/>
  <c r="U80" i="2"/>
  <c r="R80" i="2"/>
  <c r="O80" i="2"/>
  <c r="U79" i="2"/>
  <c r="Q79" i="2"/>
  <c r="P79" i="2"/>
  <c r="R79" i="2" s="1"/>
  <c r="N79" i="2"/>
  <c r="O79" i="2" s="1"/>
  <c r="U78" i="2"/>
  <c r="R78" i="2"/>
  <c r="O78" i="2"/>
  <c r="U77" i="2"/>
  <c r="T77" i="2"/>
  <c r="Q77" i="2"/>
  <c r="M77" i="2"/>
  <c r="U76" i="2"/>
  <c r="R76" i="2"/>
  <c r="O76" i="2"/>
  <c r="U75" i="2"/>
  <c r="R75" i="2"/>
  <c r="O75" i="2"/>
  <c r="T74" i="2"/>
  <c r="U74" i="2" s="1"/>
  <c r="R74" i="2"/>
  <c r="Q74" i="2"/>
  <c r="O74" i="2"/>
  <c r="N74" i="2"/>
  <c r="M74" i="2"/>
  <c r="U73" i="2"/>
  <c r="R73" i="2"/>
  <c r="Q73" i="2"/>
  <c r="O73" i="2"/>
  <c r="U72" i="2"/>
  <c r="R72" i="2"/>
  <c r="O72" i="2"/>
  <c r="N72" i="2"/>
  <c r="T71" i="2"/>
  <c r="T69" i="2" s="1"/>
  <c r="U69" i="2" s="1"/>
  <c r="R71" i="2"/>
  <c r="R69" i="2" s="1"/>
  <c r="O71" i="2"/>
  <c r="O69" i="2" s="1"/>
  <c r="N71" i="2"/>
  <c r="U70" i="2"/>
  <c r="T70" i="2"/>
  <c r="R70" i="2"/>
  <c r="Q70" i="2"/>
  <c r="O70" i="2"/>
  <c r="Q69" i="2"/>
  <c r="N69" i="2"/>
  <c r="M69" i="2"/>
  <c r="U68" i="2"/>
  <c r="T68" i="2"/>
  <c r="R68" i="2"/>
  <c r="Q68" i="2"/>
  <c r="O68" i="2"/>
  <c r="U67" i="2"/>
  <c r="R67" i="2"/>
  <c r="Q67" i="2"/>
  <c r="N67" i="2"/>
  <c r="O67" i="2" s="1"/>
  <c r="U66" i="2"/>
  <c r="R66" i="2"/>
  <c r="O66" i="2"/>
  <c r="U65" i="2"/>
  <c r="R65" i="2"/>
  <c r="O65" i="2"/>
  <c r="T64" i="2"/>
  <c r="T63" i="2" s="1"/>
  <c r="U63" i="2" s="1"/>
  <c r="R64" i="2"/>
  <c r="R63" i="2" s="1"/>
  <c r="Q64" i="2"/>
  <c r="Q63" i="2" s="1"/>
  <c r="M64" i="2"/>
  <c r="M63" i="2" s="1"/>
  <c r="U62" i="2"/>
  <c r="T62" i="2"/>
  <c r="T61" i="2" s="1"/>
  <c r="U61" i="2" s="1"/>
  <c r="R62" i="2"/>
  <c r="O62" i="2"/>
  <c r="R61" i="2"/>
  <c r="Q61" i="2"/>
  <c r="P61" i="2"/>
  <c r="N61" i="2"/>
  <c r="M61" i="2"/>
  <c r="O61" i="2" s="1"/>
  <c r="U60" i="2"/>
  <c r="R60" i="2"/>
  <c r="O60" i="2"/>
  <c r="T59" i="2"/>
  <c r="U59" i="2" s="1"/>
  <c r="R59" i="2"/>
  <c r="Q59" i="2"/>
  <c r="P59" i="2"/>
  <c r="N59" i="2"/>
  <c r="M59" i="2"/>
  <c r="O59" i="2" s="1"/>
  <c r="U58" i="2"/>
  <c r="T58" i="2"/>
  <c r="R58" i="2"/>
  <c r="R57" i="2" s="1"/>
  <c r="O58" i="2"/>
  <c r="O57" i="2" s="1"/>
  <c r="T57" i="2"/>
  <c r="U57" i="2" s="1"/>
  <c r="Q57" i="2"/>
  <c r="N57" i="2"/>
  <c r="M57" i="2"/>
  <c r="U56" i="2"/>
  <c r="R56" i="2"/>
  <c r="O56" i="2"/>
  <c r="U55" i="2"/>
  <c r="R55" i="2"/>
  <c r="N55" i="2"/>
  <c r="N53" i="2" s="1"/>
  <c r="U54" i="2"/>
  <c r="R54" i="2"/>
  <c r="O54" i="2"/>
  <c r="U53" i="2"/>
  <c r="T53" i="2"/>
  <c r="Q53" i="2"/>
  <c r="R53" i="2" s="1"/>
  <c r="M53" i="2"/>
  <c r="U52" i="2"/>
  <c r="R52" i="2"/>
  <c r="O52" i="2"/>
  <c r="U51" i="2"/>
  <c r="R51" i="2"/>
  <c r="O51" i="2"/>
  <c r="T50" i="2"/>
  <c r="U50" i="2" s="1"/>
  <c r="R50" i="2"/>
  <c r="O50" i="2"/>
  <c r="N50" i="2"/>
  <c r="U49" i="2"/>
  <c r="R49" i="2"/>
  <c r="R47" i="2" s="1"/>
  <c r="O49" i="2"/>
  <c r="O47" i="2" s="1"/>
  <c r="U48" i="2"/>
  <c r="R48" i="2"/>
  <c r="O48" i="2"/>
  <c r="Q47" i="2"/>
  <c r="Q46" i="2" s="1"/>
  <c r="R46" i="2" s="1"/>
  <c r="N47" i="2"/>
  <c r="N46" i="2" s="1"/>
  <c r="M47" i="2"/>
  <c r="M46" i="2" s="1"/>
  <c r="O46" i="2" s="1"/>
  <c r="U45" i="2"/>
  <c r="R45" i="2"/>
  <c r="O45" i="2"/>
  <c r="O44" i="2" s="1"/>
  <c r="T44" i="2"/>
  <c r="U44" i="2" s="1"/>
  <c r="R44" i="2"/>
  <c r="Q44" i="2"/>
  <c r="P44" i="2"/>
  <c r="N44" i="2"/>
  <c r="M44" i="2"/>
  <c r="U43" i="2"/>
  <c r="R43" i="2"/>
  <c r="O43" i="2"/>
  <c r="O42" i="2" s="1"/>
  <c r="U42" i="2"/>
  <c r="T42" i="2"/>
  <c r="T41" i="2" s="1"/>
  <c r="U41" i="2" s="1"/>
  <c r="R42" i="2"/>
  <c r="Q42" i="2"/>
  <c r="Q41" i="2" s="1"/>
  <c r="P42" i="2"/>
  <c r="P41" i="2" s="1"/>
  <c r="N42" i="2"/>
  <c r="M42" i="2"/>
  <c r="N41" i="2"/>
  <c r="M41" i="2"/>
  <c r="O41" i="2" s="1"/>
  <c r="U40" i="2"/>
  <c r="R40" i="2"/>
  <c r="R39" i="2" s="1"/>
  <c r="O40" i="2"/>
  <c r="T39" i="2"/>
  <c r="U39" i="2" s="1"/>
  <c r="Q39" i="2"/>
  <c r="P39" i="2"/>
  <c r="O39" i="2"/>
  <c r="N39" i="2"/>
  <c r="M39" i="2"/>
  <c r="U38" i="2"/>
  <c r="R38" i="2"/>
  <c r="O38" i="2"/>
  <c r="U37" i="2"/>
  <c r="R37" i="2"/>
  <c r="O37" i="2"/>
  <c r="U36" i="2"/>
  <c r="T35" i="2"/>
  <c r="U35" i="2" s="1"/>
  <c r="Q35" i="2"/>
  <c r="P35" i="2"/>
  <c r="R35" i="2" s="1"/>
  <c r="N35" i="2"/>
  <c r="N29" i="2" s="1"/>
  <c r="M35" i="2"/>
  <c r="U34" i="2"/>
  <c r="U33" i="2"/>
  <c r="U32" i="2"/>
  <c r="U31" i="2"/>
  <c r="R31" i="2"/>
  <c r="O31" i="2"/>
  <c r="O30" i="2" s="1"/>
  <c r="U30" i="2"/>
  <c r="T30" i="2"/>
  <c r="T29" i="2" s="1"/>
  <c r="U29" i="2" s="1"/>
  <c r="R30" i="2"/>
  <c r="Q30" i="2"/>
  <c r="Q29" i="2" s="1"/>
  <c r="P30" i="2"/>
  <c r="P29" i="2" s="1"/>
  <c r="N30" i="2"/>
  <c r="M30" i="2"/>
  <c r="M29" i="2"/>
  <c r="O29" i="2" s="1"/>
  <c r="U28" i="2"/>
  <c r="R28" i="2"/>
  <c r="O28" i="2"/>
  <c r="U27" i="2"/>
  <c r="R27" i="2"/>
  <c r="O27" i="2"/>
  <c r="T26" i="2"/>
  <c r="U26" i="2" s="1"/>
  <c r="Q26" i="2"/>
  <c r="P26" i="2"/>
  <c r="R26" i="2" s="1"/>
  <c r="N26" i="2"/>
  <c r="N22" i="2" s="1"/>
  <c r="M26" i="2"/>
  <c r="U25" i="2"/>
  <c r="R25" i="2"/>
  <c r="O25" i="2"/>
  <c r="U24" i="2"/>
  <c r="R24" i="2"/>
  <c r="O24" i="2"/>
  <c r="U23" i="2"/>
  <c r="T23" i="2"/>
  <c r="T22" i="2" s="1"/>
  <c r="U22" i="2" s="1"/>
  <c r="Q23" i="2"/>
  <c r="Q22" i="2" s="1"/>
  <c r="P23" i="2"/>
  <c r="R23" i="2" s="1"/>
  <c r="O23" i="2"/>
  <c r="N23" i="2"/>
  <c r="M23" i="2"/>
  <c r="M22" i="2"/>
  <c r="O22" i="2" s="1"/>
  <c r="U21" i="2"/>
  <c r="R21" i="2"/>
  <c r="O21" i="2"/>
  <c r="U20" i="2"/>
  <c r="R20" i="2"/>
  <c r="O20" i="2"/>
  <c r="U19" i="2"/>
  <c r="R19" i="2"/>
  <c r="O19" i="2"/>
  <c r="U18" i="2"/>
  <c r="R18" i="2"/>
  <c r="O18" i="2"/>
  <c r="U17" i="2"/>
  <c r="T17" i="2"/>
  <c r="R17" i="2"/>
  <c r="Q17" i="2"/>
  <c r="P17" i="2"/>
  <c r="N17" i="2"/>
  <c r="M17" i="2"/>
  <c r="O17" i="2" s="1"/>
  <c r="U16" i="2"/>
  <c r="R16" i="2"/>
  <c r="O16" i="2"/>
  <c r="O14" i="2" s="1"/>
  <c r="T15" i="2"/>
  <c r="T14" i="2" s="1"/>
  <c r="R15" i="2"/>
  <c r="R14" i="2" s="1"/>
  <c r="O15" i="2"/>
  <c r="Q14" i="2"/>
  <c r="N14" i="2"/>
  <c r="M14" i="2"/>
  <c r="U13" i="2"/>
  <c r="U12" i="2" s="1"/>
  <c r="R13" i="2"/>
  <c r="R12" i="2" s="1"/>
  <c r="O13" i="2"/>
  <c r="O12" i="2" s="1"/>
  <c r="T12" i="2"/>
  <c r="Q12" i="2"/>
  <c r="N12" i="2"/>
  <c r="M12" i="2"/>
  <c r="U11" i="2"/>
  <c r="R11" i="2"/>
  <c r="R10" i="2" s="1"/>
  <c r="O11" i="2"/>
  <c r="O10" i="2" s="1"/>
  <c r="O9" i="2" s="1"/>
  <c r="U10" i="2"/>
  <c r="T10" i="2"/>
  <c r="T9" i="2" s="1"/>
  <c r="Q10" i="2"/>
  <c r="N10" i="2"/>
  <c r="M10" i="2"/>
  <c r="R9" i="2"/>
  <c r="Q9" i="2"/>
  <c r="N9" i="2"/>
  <c r="M9" i="2"/>
  <c r="U9" i="2" l="1"/>
  <c r="Q108" i="2"/>
  <c r="R108" i="2" s="1"/>
  <c r="R109" i="2"/>
  <c r="N81" i="2"/>
  <c r="O81" i="2" s="1"/>
  <c r="U84" i="2"/>
  <c r="T81" i="2"/>
  <c r="U81" i="2" s="1"/>
  <c r="R197" i="2"/>
  <c r="R188" i="2" s="1"/>
  <c r="Q188" i="2"/>
  <c r="U152" i="2"/>
  <c r="R29" i="2"/>
  <c r="R41" i="2"/>
  <c r="R210" i="2" s="1"/>
  <c r="O53" i="2"/>
  <c r="O162" i="2"/>
  <c r="R82" i="2"/>
  <c r="Q81" i="2"/>
  <c r="R81" i="2" s="1"/>
  <c r="Q151" i="2"/>
  <c r="R151" i="2" s="1"/>
  <c r="R152" i="2"/>
  <c r="P210" i="2"/>
  <c r="O35" i="2"/>
  <c r="R83" i="2"/>
  <c r="U203" i="2"/>
  <c r="N169" i="2"/>
  <c r="O169" i="2" s="1"/>
  <c r="M188" i="2"/>
  <c r="M210" i="2" s="1"/>
  <c r="O137" i="3"/>
  <c r="T108" i="2"/>
  <c r="U108" i="2" s="1"/>
  <c r="N64" i="2"/>
  <c r="N63" i="2" s="1"/>
  <c r="O64" i="2"/>
  <c r="O63" i="2" s="1"/>
  <c r="N77" i="2"/>
  <c r="O77" i="2" s="1"/>
  <c r="R111" i="2"/>
  <c r="U131" i="2"/>
  <c r="U154" i="2"/>
  <c r="R178" i="2"/>
  <c r="R177" i="2" s="1"/>
  <c r="U185" i="2"/>
  <c r="R198" i="2"/>
  <c r="O83" i="3"/>
  <c r="M141" i="3"/>
  <c r="O150" i="3"/>
  <c r="M180" i="3"/>
  <c r="O26" i="2"/>
  <c r="O55" i="2"/>
  <c r="U95" i="2"/>
  <c r="U71" i="2"/>
  <c r="R88" i="2"/>
  <c r="U91" i="2"/>
  <c r="N99" i="2"/>
  <c r="O99" i="2" s="1"/>
  <c r="U100" i="2"/>
  <c r="R163" i="2"/>
  <c r="T169" i="2"/>
  <c r="U169" i="2" s="1"/>
  <c r="N183" i="3"/>
  <c r="U85" i="2"/>
  <c r="P22" i="2"/>
  <c r="R22" i="2" s="1"/>
  <c r="P77" i="2"/>
  <c r="R77" i="2" s="1"/>
  <c r="O109" i="2"/>
  <c r="O141" i="2"/>
  <c r="O142" i="3"/>
  <c r="Q99" i="2"/>
  <c r="R99" i="2" s="1"/>
  <c r="U163" i="2"/>
  <c r="U64" i="2"/>
  <c r="O82" i="2"/>
  <c r="N87" i="2"/>
  <c r="O87" i="2" s="1"/>
  <c r="R141" i="2"/>
  <c r="O152" i="2"/>
  <c r="R155" i="2"/>
  <c r="N162" i="2"/>
  <c r="N151" i="2" s="1"/>
  <c r="O151" i="2" s="1"/>
  <c r="N46" i="3"/>
  <c r="O115" i="3"/>
  <c r="U15" i="2"/>
  <c r="U14" i="2" s="1"/>
  <c r="T47" i="2"/>
  <c r="O26" i="3"/>
  <c r="N95" i="3"/>
  <c r="O95" i="3" s="1"/>
  <c r="O203" i="3"/>
  <c r="M9" i="3"/>
  <c r="O148" i="3"/>
  <c r="M187" i="3"/>
  <c r="O198" i="3"/>
  <c r="N29" i="3"/>
  <c r="M29" i="3"/>
  <c r="O30" i="3"/>
  <c r="N9" i="3"/>
  <c r="O162" i="3"/>
  <c r="N141" i="3"/>
  <c r="O141" i="3" s="1"/>
  <c r="M131" i="3"/>
  <c r="O131" i="3" s="1"/>
  <c r="O132" i="3"/>
  <c r="O122" i="3"/>
  <c r="O105" i="3"/>
  <c r="M100" i="3"/>
  <c r="M82" i="3"/>
  <c r="O88" i="3"/>
  <c r="O59" i="3"/>
  <c r="N41" i="3"/>
  <c r="O41" i="3"/>
  <c r="O23" i="3"/>
  <c r="O14" i="3"/>
  <c r="O9" i="3" s="1"/>
  <c r="N100" i="3"/>
  <c r="O100" i="3" s="1"/>
  <c r="N22" i="3"/>
  <c r="O22" i="3" s="1"/>
  <c r="O74" i="3"/>
  <c r="O97" i="3"/>
  <c r="O175" i="3"/>
  <c r="O183" i="3"/>
  <c r="O190" i="3"/>
  <c r="O64" i="3"/>
  <c r="O69" i="3"/>
  <c r="O101" i="3"/>
  <c r="O110" i="3"/>
  <c r="M109" i="3"/>
  <c r="O156" i="3"/>
  <c r="O160" i="3"/>
  <c r="O47" i="3"/>
  <c r="M46" i="3"/>
  <c r="O167" i="3"/>
  <c r="O166" i="3" s="1"/>
  <c r="N166" i="3"/>
  <c r="O188" i="3"/>
  <c r="N180" i="3"/>
  <c r="O180" i="3"/>
  <c r="O185" i="3"/>
  <c r="M63" i="3"/>
  <c r="O46" i="3"/>
  <c r="M166" i="3"/>
  <c r="M155" i="3"/>
  <c r="N155" i="3"/>
  <c r="N109" i="3"/>
  <c r="N82" i="3"/>
  <c r="O210" i="2" l="1"/>
  <c r="U47" i="2"/>
  <c r="T46" i="2"/>
  <c r="O63" i="3"/>
  <c r="Q210" i="2"/>
  <c r="N210" i="2"/>
  <c r="T151" i="2"/>
  <c r="U151" i="2" s="1"/>
  <c r="O155" i="3"/>
  <c r="O187" i="3"/>
  <c r="O29" i="3"/>
  <c r="O109" i="3"/>
  <c r="M211" i="3"/>
  <c r="O82" i="3"/>
  <c r="N211" i="3"/>
  <c r="U46" i="2" l="1"/>
  <c r="T210" i="2"/>
  <c r="O211" i="3"/>
  <c r="T214" i="2" l="1"/>
  <c r="U210" i="2"/>
</calcChain>
</file>

<file path=xl/sharedStrings.xml><?xml version="1.0" encoding="utf-8"?>
<sst xmlns="http://schemas.openxmlformats.org/spreadsheetml/2006/main" count="2032" uniqueCount="681">
  <si>
    <t>4000799990</t>
  </si>
  <si>
    <t>07</t>
  </si>
  <si>
    <t>0</t>
  </si>
  <si>
    <t>40</t>
  </si>
  <si>
    <t/>
  </si>
  <si>
    <t>06</t>
  </si>
  <si>
    <t>4000600000</t>
  </si>
  <si>
    <t>05</t>
  </si>
  <si>
    <t>4000500000</t>
  </si>
  <si>
    <t>4000499990</t>
  </si>
  <si>
    <t>04</t>
  </si>
  <si>
    <t>02</t>
  </si>
  <si>
    <t>4000200000</t>
  </si>
  <si>
    <t>01</t>
  </si>
  <si>
    <t>4000100000</t>
  </si>
  <si>
    <t>4000000000</t>
  </si>
  <si>
    <t>232F255550</t>
  </si>
  <si>
    <t>F2</t>
  </si>
  <si>
    <t>2</t>
  </si>
  <si>
    <t>23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</si>
  <si>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</si>
  <si>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</si>
  <si>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</si>
  <si>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</si>
  <si>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</si>
  <si>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</si>
  <si>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</si>
  <si>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</si>
  <si>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</si>
  <si>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</si>
  <si>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2230100000</t>
  </si>
  <si>
    <t>2230000000</t>
  </si>
  <si>
    <t>2220100000</t>
  </si>
  <si>
    <t>2210200000</t>
  </si>
  <si>
    <t>2210100000</t>
  </si>
  <si>
    <t>2210000000</t>
  </si>
  <si>
    <t>2200000000</t>
  </si>
  <si>
    <t>21</t>
  </si>
  <si>
    <t>2100100000</t>
  </si>
  <si>
    <t>2040199990</t>
  </si>
  <si>
    <t>4</t>
  </si>
  <si>
    <t>20</t>
  </si>
  <si>
    <t>2030399990</t>
  </si>
  <si>
    <t>2030200590</t>
  </si>
  <si>
    <t>2030100000</t>
  </si>
  <si>
    <t>2030000000</t>
  </si>
  <si>
    <t>E1</t>
  </si>
  <si>
    <t>202E100000</t>
  </si>
  <si>
    <t>2020399990</t>
  </si>
  <si>
    <t>2020000000</t>
  </si>
  <si>
    <t>2010700000</t>
  </si>
  <si>
    <t>2010600590</t>
  </si>
  <si>
    <t>2010599990</t>
  </si>
  <si>
    <t>2010400000</t>
  </si>
  <si>
    <t>2010384050</t>
  </si>
  <si>
    <t>2010200000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</si>
  <si>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</si>
  <si>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</si>
  <si>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</si>
  <si>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</si>
  <si>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</si>
  <si>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</si>
  <si>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</si>
  <si>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1820100000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</si>
  <si>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</si>
  <si>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</si>
  <si>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</si>
  <si>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</si>
  <si>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</si>
  <si>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</si>
  <si>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</si>
  <si>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</si>
  <si>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</si>
  <si>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</si>
  <si>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</si>
  <si>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1710100000</t>
  </si>
  <si>
    <t>1710000000</t>
  </si>
  <si>
    <t>1700000000</t>
  </si>
  <si>
    <t>1600142110</t>
  </si>
  <si>
    <t>16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</si>
  <si>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</si>
  <si>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</si>
  <si>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</si>
  <si>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</si>
  <si>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</si>
  <si>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</si>
  <si>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</si>
  <si>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</si>
  <si>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</si>
  <si>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1420100000</t>
  </si>
  <si>
    <t>1420000000</t>
  </si>
  <si>
    <t>1410200000</t>
  </si>
  <si>
    <t>1410100000</t>
  </si>
  <si>
    <t>1410000000</t>
  </si>
  <si>
    <t>1400000000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</si>
  <si>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</si>
  <si>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</si>
  <si>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</si>
  <si>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</si>
  <si>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</si>
  <si>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</si>
  <si>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</si>
  <si>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</si>
  <si>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</si>
  <si>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</si>
  <si>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</si>
  <si>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</si>
  <si>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</si>
  <si>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</si>
  <si>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F3</t>
  </si>
  <si>
    <t>113F300000</t>
  </si>
  <si>
    <t>1130300000</t>
  </si>
  <si>
    <t>1130100000</t>
  </si>
  <si>
    <t>1130000000</t>
  </si>
  <si>
    <t>1120284220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</si>
  <si>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</si>
  <si>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</si>
  <si>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</si>
  <si>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</si>
  <si>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</si>
  <si>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</si>
  <si>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</si>
  <si>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1000100000</t>
  </si>
  <si>
    <t>1000000000</t>
  </si>
  <si>
    <t>09</t>
  </si>
  <si>
    <t>0920300000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</si>
  <si>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</si>
  <si>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</si>
  <si>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</si>
  <si>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</si>
  <si>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</si>
  <si>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</si>
  <si>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</si>
  <si>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</si>
  <si>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</si>
  <si>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</si>
  <si>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</si>
  <si>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</si>
  <si>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</si>
  <si>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</si>
  <si>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</si>
  <si>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</si>
  <si>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</si>
  <si>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</si>
  <si>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0610300000</t>
  </si>
  <si>
    <t>0610299990</t>
  </si>
  <si>
    <t>0610100000</t>
  </si>
  <si>
    <t>0610000000</t>
  </si>
  <si>
    <t>0600000000</t>
  </si>
  <si>
    <t>0520199990</t>
  </si>
  <si>
    <t>0510100000</t>
  </si>
  <si>
    <t>0500000000</t>
  </si>
  <si>
    <t>0430199990</t>
  </si>
  <si>
    <t>0420399990</t>
  </si>
  <si>
    <t>0420299990</t>
  </si>
  <si>
    <t>0420000000</t>
  </si>
  <si>
    <t>0410100000</t>
  </si>
  <si>
    <t>0400000000</t>
  </si>
  <si>
    <t>030I800000</t>
  </si>
  <si>
    <t>I4</t>
  </si>
  <si>
    <t>030I400000</t>
  </si>
  <si>
    <t>0300000000</t>
  </si>
  <si>
    <t>0200499990</t>
  </si>
  <si>
    <t>0200399990</t>
  </si>
  <si>
    <t>0200299990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</si>
  <si>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</si>
  <si>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</si>
  <si>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</si>
  <si>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</si>
  <si>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</si>
  <si>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</si>
  <si>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</si>
  <si>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</si>
  <si>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КЦСР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</si>
  <si>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</si>
  <si>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</si>
  <si>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</si>
  <si>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к пояснительной записке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</si>
  <si>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</si>
  <si>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</si>
  <si>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</si>
  <si>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</si>
  <si>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</si>
  <si>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</si>
  <si>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</si>
  <si>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</si>
  <si>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</si>
  <si>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</si>
  <si>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</si>
  <si>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</si>
  <si>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</si>
  <si>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</si>
  <si>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</si>
  <si>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</si>
  <si>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</si>
  <si>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</si>
  <si>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</si>
  <si>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</si>
  <si>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</si>
  <si>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</si>
  <si>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</si>
  <si>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</si>
  <si>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</si>
  <si>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</si>
  <si>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</si>
  <si>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</si>
  <si>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</si>
  <si>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</si>
  <si>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</si>
  <si>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</si>
  <si>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</si>
  <si>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</si>
  <si>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</si>
  <si>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</si>
  <si>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</si>
  <si>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</si>
  <si>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</si>
  <si>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</si>
  <si>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</si>
  <si>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</si>
  <si>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</si>
  <si>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</si>
  <si>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</si>
  <si>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</si>
  <si>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</si>
  <si>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</si>
  <si>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</si>
  <si>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</si>
  <si>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</si>
  <si>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</si>
  <si>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</si>
  <si>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</si>
  <si>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</si>
  <si>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</si>
  <si>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</si>
  <si>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</si>
  <si>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</si>
  <si>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</si>
  <si>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</si>
  <si>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</si>
  <si>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</si>
  <si>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</si>
  <si>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</si>
  <si>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</si>
  <si>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</si>
  <si>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</si>
  <si>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</si>
  <si>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</si>
  <si>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</si>
  <si>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</si>
  <si>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</si>
  <si>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</si>
  <si>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</si>
  <si>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</si>
  <si>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</si>
  <si>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</si>
  <si>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</si>
  <si>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</si>
  <si>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</si>
  <si>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</si>
  <si>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</si>
  <si>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</si>
  <si>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</si>
  <si>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</si>
  <si>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</si>
  <si>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</si>
  <si>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</si>
  <si>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</si>
  <si>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</si>
  <si>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</si>
  <si>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</si>
  <si>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</si>
  <si>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</si>
  <si>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</si>
  <si>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</si>
  <si>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</si>
  <si>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</si>
  <si>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</si>
  <si>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</si>
  <si>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</si>
  <si>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</si>
  <si>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</si>
  <si>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</si>
  <si>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</si>
  <si>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</si>
  <si>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</si>
  <si>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</si>
  <si>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</si>
  <si>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</si>
  <si>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</si>
  <si>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</si>
  <si>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</si>
  <si>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</si>
  <si>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</si>
  <si>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</si>
  <si>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</si>
  <si>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</si>
  <si>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</si>
  <si>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</si>
  <si>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</si>
  <si>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</si>
  <si>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</si>
  <si>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</si>
  <si>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Муниципальная программа  "Культурное пространство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</si>
  <si>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</si>
  <si>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</si>
  <si>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</si>
  <si>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</si>
  <si>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</si>
  <si>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</si>
  <si>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</si>
  <si>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</si>
  <si>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</si>
  <si>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</si>
  <si>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</si>
  <si>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</si>
  <si>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</si>
  <si>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</si>
  <si>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</si>
  <si>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</si>
  <si>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</si>
  <si>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</si>
  <si>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</si>
  <si>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</si>
  <si>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</si>
  <si>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</si>
  <si>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</si>
  <si>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</si>
  <si>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</si>
  <si>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</si>
  <si>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</si>
  <si>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</si>
  <si>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</si>
  <si>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</si>
  <si>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</si>
  <si>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</si>
  <si>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</si>
  <si>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</si>
  <si>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</si>
  <si>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</si>
  <si>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</si>
  <si>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"Строительство (реконструкция) спортивных сооружений"</t>
  </si>
  <si>
    <t>основное мероприятие "Строительство городского кладбища"</t>
  </si>
  <si>
    <t>1410300000</t>
  </si>
  <si>
    <t>2020299990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</si>
  <si>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</si>
  <si>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единого порядка содержания объектов внешнего благоустройства "</t>
  </si>
  <si>
    <t>Инициативный проект "Создание объекта, предназначенного для содержания животных"</t>
  </si>
  <si>
    <t>основное мероприятие "Развитие сети спортивных объектов шаговой доступности"</t>
  </si>
  <si>
    <t>основное мероприятие "Совершенствование системы оповещения населения города"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</si>
  <si>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</si>
  <si>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</si>
  <si>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</si>
  <si>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Инициативный проект "Организация благоустройства территории в районе строения 13 по улице Новая в городе Мегионе"</t>
  </si>
  <si>
    <t>Инициативный проект "Организация благоустройства территории, расположенной в районе строения 4 по улице Нефтяников в городе Мегион"</t>
  </si>
  <si>
    <t>Региональный проект "Акселерация субъектов малого и среднего предпринимательства"</t>
  </si>
  <si>
    <t>I5</t>
  </si>
  <si>
    <t xml:space="preserve">                        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</si>
  <si>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</si>
  <si>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"Дополнительное финансовое обеспечение мероприятий в виде возмещения фактических расходов на проезд автомобильным транспортом общего пользования"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</si>
  <si>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</si>
  <si>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</si>
  <si>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основное мероприятие "Подготовка образовательных организаций организаций молодежной политики к осенне-зимнему периоду, к новому учебному году"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</si>
  <si>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</si>
  <si>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</si>
  <si>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подпрограмма "Проведение информационной кампании по профилактике заболеваний и формированию здорового образа жизни"</t>
  </si>
  <si>
    <t xml:space="preserve">Региональный проект "Создание условий для легкого старта и комфортного ведения бизнеса"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</si>
  <si>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"Оказание информационной поддержки"</t>
  </si>
  <si>
    <t>Решение Думы города Мегиона от 03.12.2021 №137 (утверждённый бюджет)                                                      (тыс. рублей)</t>
  </si>
  <si>
    <t xml:space="preserve">подпрограмма "Поддержка и развитие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</si>
  <si>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"Поддержка сельскохозяйственного производства"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</si>
  <si>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"Развитие отрасли животноводства"</t>
  </si>
  <si>
    <t>основное мероприятие "Оснащение и модернизация технологического оборудования для пищеблоков образовательных организаций"</t>
  </si>
  <si>
    <t>основное мероприятие "Исполнение иных функций и полномочий органов местного самоуправления"</t>
  </si>
  <si>
    <t>Решение Думы города Мегиона от 11.02.2022 №159 (уточненный бюджет)                                                      (тыс. рублей)</t>
  </si>
  <si>
    <t>основное мероприятие "Поддержка рыбохозяйственного комплекса"</t>
  </si>
  <si>
    <t>основное мероприятие "Обеспечение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</si>
  <si>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Региональный проект "Современная школа"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</si>
  <si>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города Мегиона"</t>
  </si>
  <si>
    <t>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</si>
  <si>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Инициативный проект «Устройство площадки WorkOut во дворе жилых домов 1, 2, 3, 4, 5, 6 по улице 7-й микрорайон,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</si>
  <si>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15, 15/1 по улице Заречная, дома 14 по улице Нефтяников, дома 13 по улице Садовая города Мегиона»</t>
  </si>
  <si>
    <t>Инициативный проект «Организация детской площадки в районе домов 8, 10, 12 по улице Нефтяников,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</si>
  <si>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8 по улице Сутормина, домов 6/1, 6/2 по улице Ленина города Мегиона»</t>
  </si>
  <si>
    <t>Инициативный проект «Организация детской площадки в районе домов 1, 1/1, 12, 12/1, 12/2 по улице Строителей города Мегион»</t>
  </si>
  <si>
    <t>основное мероприятие "Обеспечение деятельности контрольно-счетной палаты города Мегиона"</t>
  </si>
  <si>
    <t>(+) 2 363,7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3 357,9  тыс. рублей - уменьшен объем бюджетных ассигнований для выплаты пенсий муниципальным служащим, оплаты исполнительных документов, командировочных расходов (средства местного бюджета);                                                                                                                                                                                               (+) 21,2 тыс. рублей - увеличен объем бюджетных ассигнований на компенсацию расходов по оплате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(+) 1 222,2 тыс. рублей - увеличен объем бюджетных ассигнований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оставшимся без попечения родителей, усыновителям, приемным родителям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3 137,8 тыс. рублей - увеличен объем бюджетных ассигнований  на выплаты пенсии муниципальным служащим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143,9 тыс. рублей - увеличен объем бюджетных ассигнований  на единовременные выплаты пострадавшим при пожаре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1 835,6 тыс. рублей - увеличен объем бюджетных ассигнований на выплаты пенсии муниципальным служащим (средства местного бюджета)</t>
  </si>
  <si>
    <t>Решение Думы города Мегиона от 28.10.2022 №237 (уточненный бюджет)                                                      (тыс. рублей)</t>
  </si>
  <si>
    <t>(-) 2 064,4,0 тыс. рублей - уменьшен объем бюджетных ассигнований на организацию горячего питания обучающихся, получающих начальное общее образование в государственных и муниципальных организациях (средства федерального бюджета).</t>
  </si>
  <si>
    <t>основное мероприятие "Консультационная поддержка социально ориентированных некоммерческих организаций"</t>
  </si>
  <si>
    <t>основное мероприятие "Имущественная поддержка социально ориентированных некоммерческих организаций "</t>
  </si>
  <si>
    <t>основное мероприятие "Развитие добровольческой (волонтёрской) деятельности на территории города Мегиона"</t>
  </si>
  <si>
    <t>(-) 100,0 тыс. рублей - уменьшен объем целевых межбюджетных трансфертов на осуществление отдельных государственных полномочий в сфере трудовых отношений и государственного управления охраной труда (средства автономного округа)</t>
  </si>
  <si>
    <t>(-) 700,0 тыс. рублей - уменьшен объем бюджетных ассигнований с обслуживания муниципального внутреннего долга для оплаты первоочередных расходов (средства местного бюджета)</t>
  </si>
  <si>
    <t>(+) 3 170,6 тыс. рублей - увеличен объем бюджетных ассигнований для оплаты услуг за потребление электроэнергии на уличное освещение (средства местного бюджета)</t>
  </si>
  <si>
    <t>(+) 100,0 тыс. рублей - увеличен объем бюджетных ассигнований на оплату услуг по разработке топливно-энергетического баланса (средства местного бюджета)</t>
  </si>
  <si>
    <t>(-) 995,2 тыс. рублей -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</si>
  <si>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(+) 3 363,0 тыс. рублей - увеличен объем целевых межбюджетных трансфертов на осуществление деятельности по опеке и попечительству (средства автономного округа)</t>
  </si>
  <si>
    <t>(-) 41,4 тыс. рублей - уменьшен объем целевых межбюджетных трансфертов на поддержку и развитие животноводства  (средства автономного округа)</t>
  </si>
  <si>
    <t>(+) 46,2 тыс. рублей - увеличен объем бюджетных ассигнований за счет перераспределения на релизацию мероприятий в области образования и молодежной политики.</t>
  </si>
  <si>
    <t>(+) 749,3 тыс. рублей - увеличен объем бюджетных ассигнований на финансовую поддержку субъектов малого и среднего предпринимательства (средства бюджета автономного округа)</t>
  </si>
  <si>
    <t>(+) 2 515,8 тыс. рублей - увеличен объем целевых межбюджетных трансфертов на развитие рыбохозяйственного комплекса  (средства автономного округа)</t>
  </si>
  <si>
    <t>(+) 200 000,0 тыс. рублей - увеличен объем бюджетных ассигнований на обеспечение устойчивого сокращения непригодного для проживания жилищного фонда (из них 39 630,0 тыс .рублей - средства, поступившие от публично-правовой компании «Фонд развития территорий», 146 370,0 тыс. рублей - средства бюджета автономного округа, 14 000,0 тыс. рублей - средства местного бюджета)</t>
  </si>
  <si>
    <t>(-) 76,5 тыс .рублей - уменьшен объем бюджетных ассигнований для оплаты первоочередных расходов (средства местного бюджета)</t>
  </si>
  <si>
    <t>(-) 84,4 тыс. рублей - уменьшен объем бюджетных ассигнований для оплаты первоочередных расходов (средства местного бюджета)</t>
  </si>
  <si>
    <t>(-) 100,0 тыс. рублей - уменьшен объем бюджетных ассигнований для оплаты первоочередных расходов (средства местного бюджета)</t>
  </si>
  <si>
    <t>(-) 402,0 тыс. рублей - уменьшен объем бюджетных ассигнований с ликвидации свалок для оплаты первоочередных расходов (средства местного бюджета)</t>
  </si>
  <si>
    <t>(-) 0,5 тыс .рублей - уменьшен объем бюджетных ассигнований для оплаты первоочередных расходов (средства местного бюджета)</t>
  </si>
  <si>
    <t xml:space="preserve">(+) 300,0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0,5 тыс. рублей - уменьшен объем бюджетных ассигнований для оплаты первоочередных расходов (средства местного бюджета)      </t>
  </si>
  <si>
    <r>
      <t xml:space="preserve">(-) 3,0 тыс.рублей - 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перераспределения,</t>
    </r>
    <r>
      <rPr>
        <sz val="8"/>
        <rFont val="Arial"/>
        <family val="2"/>
        <charset val="204"/>
      </rPr>
      <t xml:space="preserve">  для выплаты заработной платы и начислений на выплаты по оплате труда (средства местного бюджета)     </t>
    </r>
  </si>
  <si>
    <r>
      <t xml:space="preserve">(+) 1 091,0 тыс.рублей -  увеличен объем бюджетных ассигнований для выплаты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3,0 тыс.рублей - 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 xml:space="preserve">, для выплаты заработной платы и начислений на выплаты по оплате труда (средства местного бюджета);                                                                                                                 (+) 1 075,6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</si>
  <si>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(+) 5 102,9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14 013,0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</si>
  <si>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8,70 тыс.рублей  - уменьшен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</si>
  <si>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>(+) 28,7  увеличен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</si>
  <si>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>(-) 20,0 тыс.рублей  - уменьшен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</si>
  <si>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 xml:space="preserve">(-) 8,8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номандировочных расходов работников (средства местного бюджета);                          (+) 139,9 тыс.рублей - увеличен объем бюджетных ассигнований за счет средств резервного фонда Правительства Тюмеской области на приобретение иллюстраций к книге для МАУ "Региональный историко-культурный и экологический центр" </t>
  </si>
  <si>
    <t xml:space="preserve">(+)10 770,7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номандировочных расходов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22 675,2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</si>
  <si>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541,0 тыс.рублей -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тыс.рублей - увеличен объем бюджетных ассигнований на производство и трансляцию информационных материалов на телеканалах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(+) 1 285,0 тыс.рублей - увеличен объем бюджетных ассигнований на заработную плату и начисления на оплату труда (средства местного бюджета)   </t>
  </si>
  <si>
    <t xml:space="preserve">(+) 1 268,1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2 098,2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</si>
  <si>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2 729,1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(+) 4 369,1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</si>
  <si>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1 978,3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64,9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3 553,6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</si>
  <si>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0,5 тыс. рублей - увеличен объем бюджетных ассигнований путем внутреннего перераспределения для выплаты заработной платы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14,8 тыс .рублей - увеличен объем бюджетных ассигнований на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</si>
  <si>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578,4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</si>
  <si>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(+) 0,1 тыс. рублей -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на реализацию мероприятий по обеспечению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</t>
    </r>
  </si>
  <si>
    <r>
      <t xml:space="preserve">(-) 0,1 тыс. рублей -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на реализацию мероприятий по обеспечению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</t>
    </r>
  </si>
  <si>
    <t xml:space="preserve">(+) 1 510,9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1 221,0 тыс. рублей - увеличен объем бюджетных ассигнований на заработную плату и начисления на оплату труда (средства местного бюджета)          </t>
  </si>
  <si>
    <t xml:space="preserve">(-) 44,7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безработных граждан, испытывающих трудности в поиске работы; организация проведения оплачиваемых общественных работ)(средства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3 370,0 тыс. рублей - увеличен объем целевых межбюджетных трансфертов на реализацию мероприятий по содействию трудоустройству граждан (на содействие занятости молодежи- организация временного трудоустройства несовершеннолетних в возрасте от 14 до 18 лет в свободное от учёбы время) (средства бюджета автономного округа)              </t>
  </si>
  <si>
    <t xml:space="preserve">(+) 1 510,9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1 221,0 тыс. рублей - увеличен объем бюджетных ассигнований на заработную плату и начисления на оплату труда (средства местного бюджета)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</si>
  <si>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(+)20,0 увеличен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</si>
  <si>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 xml:space="preserve">(+)10 770,7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командировочных расходов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22 675,2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</t>
  </si>
  <si>
    <t xml:space="preserve">(-)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командировочных расходов работников (средства местного бюджета);                          (+) 139,9 тыс.рублей - увеличен объем бюджетных ассигнований за счет средств резервного фонда Правительства Тюменской области на приобретение иллюстраций к книге для МАУ "Региональный историко-культурный и экологический центр" </t>
  </si>
  <si>
    <t xml:space="preserve">(+) 1 268,1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2 098,2 тыс. рублей - увеличен объем бюджетных ассигнований на заработную плату и начисления на оплату труда (средства местного бюджета)              </t>
  </si>
  <si>
    <t>(-) 41,4 тыс. рублей - уменьшен объем целевых межбюджетных трансфертов на поддержку и развитие животноводства 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(+) 2 515,8 тыс. рублей - увеличен объем целевых межбюджетных трансфертов на развитие рыбохозяйственного комплекса  (средства автономного округа)</t>
  </si>
  <si>
    <t xml:space="preserve">(+) 2 729,1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4 369,1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1 978,3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64,9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3 553,6 тыс. рублей - увеличен объем бюджетных ассигнований на заработную плату и начисления на оплату труда (средства местного бюджета)              </t>
  </si>
  <si>
    <t xml:space="preserve">(+) 1 091,0 тыс.рублей -  увеличен объем бюджетных ассигнований для выплаты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1 075,6 тыс. рублей - увеличен объем бюджетных ассигнований на заработную плату и начисления на оплату труда (средства местного бюджета)         </t>
  </si>
  <si>
    <t xml:space="preserve">(+) 5 102,9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14 013,0 тыс. рублей - увеличен объем бюджетных ассигнований на заработную плату и начисления на оплату труда (средства местного бюджета)                 </t>
  </si>
  <si>
    <t>(-) 0,2 тыс.рублей -  уменьшен объем бюджетных ассигнований для заключения муниципального контракта на выполнение работ по разработке топливно-энергетического баланса муниципального образования город Мегион</t>
  </si>
  <si>
    <t>(+) 2 490,2 тыс. рублей - увеличен объем целевых межбюджетных трансфертов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(+) 2 700,0 тыс .рублей - увеличен объем бюджетных ассигнований  на улучшение жилищных условий детей-сирот по решению суда (средства местного бюджета)</t>
  </si>
  <si>
    <t>(+) 2 490,2 тыс. рублей - увеличен объем целевых межбюджетных трансфертов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(+) 2 700,0 тыс .рублей - увеличен объем бюджетных ассигнований на улучшение жилищных условий детей-сирот по решению суда (средства местного бюджета)</t>
  </si>
  <si>
    <t>(-) 2 700,0 тыс. рублей - уменьшен объем бюджетных ассигнований путем внутреннего перераспределения на улучшение жилищных условий детей-сирот по решению суда (средства местного бюджета)</t>
  </si>
  <si>
    <t>(-) 184,4 тыс. рублей - уменьшен объем бюджетных ассигнований для оплаты первоочередных расходов (средства местного бюджета)</t>
  </si>
  <si>
    <t>(+) 2 206,3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для оплаты первоочередных расходов (средства местного бюджета)</t>
  </si>
  <si>
    <t xml:space="preserve">(+) 494,0 тыс. рублей - увеличен объем бюджетных ассигнований на заработную плату и начисления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(+) 1 068,1 тыс. рублей -  увеличен объем бюджетных ассигнований на заработную плату и начисления за счет перераспределения средств (средства местного бюджета)  </t>
  </si>
  <si>
    <t>(+) 300,0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светового оборудования и комплектующих к нему, лампы для проектора, тканей для МАОУ №5 "Гимназия")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41 010,0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2124,7 тыс. рублей - увеличен объем бюджетных ассигнований на заработную плату и начисления на выплаты по оплате труда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за счет перераспределения на релизацию мероприятий в области образования и молодежной политики;                                                                                                                                                                              (-) 953,6 тыс.рублей - уменьшен объем бюджетных ассигнований за счет перераспределения на выплату заработной платы и начислений.</t>
  </si>
  <si>
    <t>(-) 114,5 тыс.рублей - уменьшен объем бюджетных ассигнований за счет перераспределения на выплату заработной платы и начислений.</t>
  </si>
  <si>
    <t xml:space="preserve">(+) 100,0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 (средства местного бюджета),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18 058,5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49,9 тыс .рублей -  увеличен объем бюджетных ассигнований путем внутреннего перераспределения на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</si>
  <si>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100,0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18 058,5 тыс. рублей - увеличен объем бюджетных ассигнований на заработную плату и начисления на оплату труда в пределах утвержденного норматива на содержание органов местного самоуправления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3 363,0 тыс. рублей - увеличен объем целевых межбюджетных трансфертов на осуществление деятельности по опеке и попечительству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49,9 тыс .рублей -  увеличен объем бюджетных ассигнований путем внутреннего перераспределения на начисления на оплату труда (средства местного бюджета)</t>
  </si>
  <si>
    <t>(+) 2 206,3 тыс. рублей - увеличен объем бюджетных ассигнований на заработную плату и начисления на оплату труда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светового оборудования и комплектующих к нему, лампы для проектора, тканей для МАОУ №5 "Гимназия")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41 010,0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2 618,7 тыс. рублей - увеличен объем бюджетных ассигнований на заработную плату и начисления на выплаты по оплате труда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за счет перераспределения на релизацию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2 064,4,0 тыс. рублей - уменьшен объем бюджетных ассигнований на организацию горячего питания обучающихся, получающих начальное общее образование в государственных и муниципальных организациях (средства федерального бюджета);                                                                                                   (-) 49,9 тыс. рублей - уменьшен объем бюджетных ассигнований для оплаты первоочередных расходов (средства местного бюджета).</t>
  </si>
  <si>
    <t xml:space="preserve">(+) 14,8 тыс .рублей - увеличен объем бюджетных ассигнований на начисления на оплату труда Думе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578,4 тыс. рублей - увеличен объем бюджетных ассигнований на заработную плату и начисления на оплату труда Контрольно-счетной палате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44,7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безработных граждан, испытывающих трудности в поиске работы; организация проведения оплачиваемых общественных работ)(средства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3 370,0 тыс. рублей - увеличен объем целевых межбюджетных трансфертов на реализацию мероприятий по содействию трудоустройству граждан (на содействие занятости молодежи- организация временного трудоустройства несовершеннолетних в возрасте от 14 до 18 лет в свободное от учёбы время) (средства бюджета автономного округа) </t>
  </si>
  <si>
    <t>(-) 3 961,6 тыс .рублей - уменьшен объем бюджетных ассигнований с  благоустройства территорий общего пользования для оплаты первоочередных расходов (средства местного бюджета)</t>
  </si>
  <si>
    <t>(+) 100,0 тыс. рублей - увеличен объем бюджетных ассигнований на оплату услуг по разработке топливно-энергетического баланса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995,2 тыс. рублей -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150 000,0 тыс. рублей - увеличен объем бюджетных ассигнований в целях предоставления субсидии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 города Мегиона, связанных с погашением задолженности за потребленные топливно-энергетические ресурсы (средства местного бюджета)</t>
  </si>
  <si>
    <t>(+) 214,7 тыс. руьлей - увеличен объем бюджетных ассигнований путем внутреннего перераспределения на ремонт административного здания по ул.Садовая, д.7 (средства местного бюджета)</t>
  </si>
  <si>
    <t>(-) 2 700,0 тыс. рублей - уменьшен объем бюджетных ассигнований путем внутреннего перераспределения на улучшение жилищных условий детей-сирот по решению суда (средства местного бюджета);                                                                                                                                             (+) 214,7 тыс. руьлей - увеличен объем бюджетных ассигнований путем внутреннего перераспределения на ремонт административного здания по ул.Садовая, д.7 (средства местного бюджета)</t>
  </si>
  <si>
    <t>(-) 214,7 тыс .рублей - уменьшен объем бюджетных ассигнований путем внутреннего перераспределения на содержание дорог (средства местного бюджета)</t>
  </si>
  <si>
    <t>(+) 170 000,0 тыс. рублей - увеличен объем бюджетных ассигнований в целях предоставления субсидии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 города Мегиона, связанных с погашением задолженности за потребленные топливно-энергетические ресурсы (средства местного бюджета)</t>
  </si>
  <si>
    <t>приложение  2</t>
  </si>
  <si>
    <t>Муниципальная программа "Молодежная политика города Мегиона на период 2023-2025 годы"</t>
  </si>
  <si>
    <t>24</t>
  </si>
  <si>
    <t>Подпрограмма "Развитие молодежной политики в городе Мегионе"</t>
  </si>
  <si>
    <t>Основное мероприятие "Организация и проведение мероприятий творческой, спортивной, профилактической, гражданско-патриотической и добровольческой направленности городского уровня"</t>
  </si>
  <si>
    <t>Подпрограмма "Развитие и организационное обеспечение деятельности муниципальных учреждений молодежной политики"</t>
  </si>
  <si>
    <t>Основное мероприятие "Реализация и обеспечение деятельности муниципальных учреждений молодежной политики"</t>
  </si>
  <si>
    <t>Подпрограмма "Содействие трудовой занятости несовершеннолетних граждан"</t>
  </si>
  <si>
    <t>Основное мероприятие "Организация временного трудоустройства несовершеннолетних граждан"</t>
  </si>
  <si>
    <t>Муниципальная программа "Развитие образования города Мегиона на 2023-2025 годы"</t>
  </si>
  <si>
    <t>25</t>
  </si>
  <si>
    <t>Подпрограмма "Общее и дополнительное образование детей"</t>
  </si>
  <si>
    <t xml:space="preserve">Основное мероприятие "Обеспечение функций органов местного самоуправления (управление) и обеспечения деятельности департамента образования </t>
  </si>
  <si>
    <t>Основное мероприятие "Развитие системы дошкольного и общего образования"</t>
  </si>
  <si>
    <t>Основное мероприятие "Выплата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</si>
  <si>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"Развитие системы персонифицированного финансирования дополнительного образования детей"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</si>
  <si>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</t>
  </si>
  <si>
    <t>Основное мероприятие "Развитие и организационное обеспечение деятельности (оказание услуг) в муниципальных организаций"</t>
  </si>
  <si>
    <t>Основное мероприятие "Организация питания в муниципальных общеобразовательных организациях"</t>
  </si>
  <si>
    <t>Основное мероприятие "Организация отдыха и оздоровления детей и подростков"</t>
  </si>
  <si>
    <t>Региональный проект "Патриотическое воспитание граждан Российской Федерации"</t>
  </si>
  <si>
    <t>EВ</t>
  </si>
  <si>
    <t>Подпрограмма "Ресурсное обеспечение в сфере образования"</t>
  </si>
  <si>
    <t>Основное мероприятие "Обеспечение  комплексной безопасности образовательных организаций"</t>
  </si>
  <si>
    <t>2520299990</t>
  </si>
  <si>
    <t>2520399990</t>
  </si>
  <si>
    <t>2520600000</t>
  </si>
  <si>
    <t>Основные мероприятия "Реализация мероприятий по модернизации школьных систем образования"</t>
  </si>
  <si>
    <t>Основное мероприятие "Проведение мероприятий по приведению в нормативное состояние антитеррористической защищенности объектов (территорий) образовательных организаций "</t>
  </si>
  <si>
    <t>Основное мероприятие "Подготовка муниципальных образовательных организаций  к осенне-зимнему периоду, к новому учебному году"</t>
  </si>
  <si>
    <t>Основное мероприятие "Расходы на поддержание санитарно-эпидемиологического благополучия населения"</t>
  </si>
  <si>
    <t>Основное мероприятие "Реализация норм, установленных Бюджетным кодексом Российской Федерации"</t>
  </si>
  <si>
    <t>Подпрограмма "Функционирование единой дежурно - диспетчерской службы  города Мегиона"</t>
  </si>
  <si>
    <t>Основное мероприятие "Содержание каналов связи, обеспечение информационной безопасности"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</si>
  <si>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</si>
  <si>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системы оповещения населения города"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</si>
  <si>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</si>
  <si>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</si>
  <si>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</si>
  <si>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</si>
  <si>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</si>
  <si>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 Улучшение условий труда в  городе Мегионе"</t>
  </si>
  <si>
    <t xml:space="preserve">Подпрограмма "Поддержка и развитие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</si>
  <si>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"Поддержка сельскохозяйственного производства"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</si>
  <si>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"Развитие отрасли животноводства"</t>
  </si>
  <si>
    <t>Основное мероприятие "Поддержка рыбохозяйственного комплекса"</t>
  </si>
  <si>
    <t>Подпрограмма "Создание условий для реализации гражданских инициатив"</t>
  </si>
  <si>
    <t>Основное мероприятие "Финансовая поддержка социально ориентированных некоммерческих организаций"</t>
  </si>
  <si>
    <t>Основное мероприятие "Консультационная поддержка социально ориентированных некоммерческих организаций"</t>
  </si>
  <si>
    <t>Основное мероприятие "Имущественная поддержка социально ориентированных некоммерческих организаций "</t>
  </si>
  <si>
    <t>Основное мероприятие "Развитие добровольческой (волонтёрской) деятельности на территории города Мегиона"</t>
  </si>
  <si>
    <t>Подпрограмма "Обеспечение доступа граждан к информации о социально значимых мероприятиях города Мегиона"</t>
  </si>
  <si>
    <t>Основное мероприятие "Оказание информационной поддержки"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</si>
  <si>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</si>
  <si>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</si>
  <si>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</si>
  <si>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</si>
  <si>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</si>
  <si>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</si>
  <si>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Подпрограмма  "Управление муниципальным долгом"</t>
  </si>
  <si>
    <t>Основное мероприятие "Обслуживание муниципального внутреннего долга "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</si>
  <si>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</si>
  <si>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</si>
  <si>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</si>
  <si>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</si>
  <si>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</si>
  <si>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</si>
  <si>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</si>
  <si>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</si>
  <si>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Основное мероприятие "Стимулирование культурного разнообразия в городе Мегионе"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</si>
  <si>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</si>
  <si>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</si>
  <si>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</si>
  <si>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города Мегиона"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</si>
  <si>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</si>
  <si>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</si>
  <si>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</si>
  <si>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</si>
  <si>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</si>
  <si>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</si>
  <si>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мероприятие "Обеспечение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</si>
  <si>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</si>
  <si>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"Строительство (реконструкция) спортивных сооружений"</t>
  </si>
  <si>
    <t>Основное мероприятие "Развитие сети спортивных объектов шаговой доступности"</t>
  </si>
  <si>
    <t>Подпрограмма "Проведение информационной кампании по профилактике заболеваний и формированию здорового образа жизни"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</si>
  <si>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</si>
  <si>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</si>
  <si>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</si>
  <si>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</si>
  <si>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</si>
  <si>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</si>
  <si>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Основное мероприятие "Улучшение жилищных условий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</si>
  <si>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</si>
  <si>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</si>
  <si>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</si>
  <si>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"Содействие развитию жилищного строительства на территории  города Мегиона"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</si>
  <si>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</si>
  <si>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</si>
  <si>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</si>
  <si>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</si>
  <si>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</si>
  <si>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Основное мероприятие "Защита информации органов местного самоуправления города Мегиона"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</si>
  <si>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</si>
  <si>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</si>
  <si>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</si>
  <si>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"Социальная и культурная адаптация мигрантов"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</si>
  <si>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</si>
  <si>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</si>
  <si>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</si>
  <si>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</si>
  <si>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</si>
  <si>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</si>
  <si>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</si>
  <si>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</si>
  <si>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</si>
  <si>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</si>
  <si>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</si>
  <si>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</si>
  <si>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</si>
  <si>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</si>
  <si>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</si>
  <si>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</si>
  <si>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</si>
  <si>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</si>
  <si>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</si>
  <si>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</si>
  <si>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</si>
  <si>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</si>
  <si>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</si>
  <si>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Основное мероприятие "Исполнение иных функций и полномочий органов местного самоуправления"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</si>
  <si>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</si>
  <si>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</si>
  <si>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</si>
  <si>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</si>
  <si>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</si>
  <si>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</si>
  <si>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</si>
  <si>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Основное мероприятие "Повышение уровня благоустройства и комфорта дворовых территорий в условиях сложившейся застройки"</t>
  </si>
  <si>
    <t>Основное мероприятие "Повышение качества и комфорта территорий общего пользования"</t>
  </si>
  <si>
    <t>Подпрограмма "Благоустройство территорий общего пользования"</t>
  </si>
  <si>
    <t>Подпрограмма  "Содержание объектов внешнего благоустройства  города Мегиона"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</si>
  <si>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</si>
  <si>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>Основное мероприятие "Строительство городского кладбища"</t>
  </si>
  <si>
    <t>Подпрограмма "Модернизация и реформирование жилищно-коммунального комплекса  города Мегиона"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</si>
  <si>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</si>
  <si>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</si>
  <si>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"Возмещение недополученных доходов организациям, осуществляющим реализацию населению сжиженного газа и возмещение расходов организации за доставку населению сжиженного газа для бытовых нужд"</t>
  </si>
  <si>
    <t>Основное мероприятие "Предоставление субсидии из бюджета города Мегиона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города Мегиона, связанных с погашением задолженности за потребленные топливно-энергетические ресурсы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</si>
  <si>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</si>
  <si>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Основное мероприятие "Энергосбережение в бюджетной сфере"</t>
  </si>
  <si>
    <t>Подпрограмма "Капитальный ремонт, реконструкция и ремонт  муниципального жилого фонда города Мегиона"</t>
  </si>
  <si>
    <t>Основное мероприятие "Капитальный ремонт, реконструкция и ремонт  муниципального жилого фонда"</t>
  </si>
  <si>
    <t>Подпрограмма "Содействие проведению капитального ремонта многоквартирных домов на территории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</si>
  <si>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</si>
  <si>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Основное мероприятие "Снижение производственного травматизма"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</si>
  <si>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</si>
  <si>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Основное мероприятие "Ликвидация и расселение приспособленных для проживания строений"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</si>
  <si>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</si>
  <si>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</si>
  <si>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</si>
  <si>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</si>
  <si>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</si>
  <si>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Основное мероприятие " Обеспечение функционирования сети автомобильных дорог общего пользования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</si>
  <si>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в городе Мегионе"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</si>
  <si>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</si>
  <si>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"Обеспечение единого порядка содержания объектов внешнего благоустройства"</t>
  </si>
  <si>
    <t>Основное мероприятие "Реализация мероприятий по восстановлению систем теплоснабжения"</t>
  </si>
  <si>
    <t>(+) 4 074,5 тыс. рублей - увеличен объем бюджетных ассигнований на организацию летнего отдыха, оздоровления, занятости детей, подростков и молодежи (благотворительные пожертвования ПАО " СН-МНГ" - остаток неиспользованных средств 2022 года)  (средства местного бюджета)</t>
  </si>
  <si>
    <t>(-) 17,9 тыс. рублей - уменьшен объем бюджетных ассигнований за счет перераспределения нана софинансирование расходных обязательств по финансовому обеспечению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</si>
  <si>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(+) 17,9 тыс. рублей - увеличен объем бюджетных ассигнований за счет перераспределения нана софинансирование расходных обязательств по финансовому обеспечению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</si>
  <si>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(-) 64,6 тыс. рублей - уменьшен объем бюджетных ассигнований за счет перераспределения на релизацию мероприятий </t>
  </si>
  <si>
    <t xml:space="preserve">(+) 64,6 тыс. рублей - увеличен объем бюджетных ассигнований за счет перераспределения на релизацию мероприятий </t>
  </si>
  <si>
    <t>(+) 1702,0 тыс. рублей - увеличен объем бюджетных ассигнований за счет перераспределения на релизацию мероприятий в области образования</t>
  </si>
  <si>
    <t>(-) 1666,4 тыс. рублей - уменьшен объем бюджетных ассигнований за счет перераспределения на релизацию мероприятий в области образования</t>
  </si>
  <si>
    <t>(+) 200,0 тыс. рублей - увеличен объем бюджетных ассигнований на реализацию мероприятий по защите информации органов местного самоуправления  города Мегиона (средства местного бюджета)</t>
  </si>
  <si>
    <t>по протоколу 5</t>
  </si>
  <si>
    <t>(-) 15 000,0 тыс. рублей - уменьшен объем бюджетных ассигнований в целях обеспечение  доли софинансирования на обеспечение устойчивого сокращения непригодного для проживания жилищного фонда (средства местного бюджета)</t>
  </si>
  <si>
    <t>(-) 1 514,6 тыс. рублей - уменьшен объем бюджетных ассигнований для оплаты исполнительных документов (средства местного бюджета);                                                                                                   (-) 150,0 тыс. рублей - уменьшен объем бюджетных ассигнований для оплаты работ по проведению оценки жилых помещений с целью изъятия земельных участков для муниципальных нужд (средства местного бюджета)</t>
  </si>
  <si>
    <t>протокол 6</t>
  </si>
  <si>
    <t>(+) 150,0 тыс. рублей - увеличен объем бюджетных ассигнований для оплаты работ по проведению оценки жилых помещений с целью изъятия земельных участков для муниципальных нужд (средства местного бюджета)</t>
  </si>
  <si>
    <t>(+) 215,5 тыс. рублей - увеличен объем бюджетных ассигнований для оплаты работ по ремонту муниципального имущества (средства местного бюджета)</t>
  </si>
  <si>
    <t>(-) 3 707,0 тыс. рублей - уменьшен объем бюджетных ассигнований для  оплаты фактически выполненных работ по объекту «Парк на берегу р.Мега («Мега.Парк») в г.Мегионе»(средства местного бюджета)</t>
  </si>
  <si>
    <t>(-) 215,5 тыс. рублей - уменьшен объем бюджетных ассигнований для оплаты работ по ремонту муниципального имущества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(-) 98,4 тыс. рублей - уменьшен объем бюджетных ассигнований для оплаты судебных расходов по исполнительному листу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(-) 2 500,0 тыс. рублей - уменьшен объем бюджетных ассигнований для  оплаты фактически выполненных работ по объекту «Парк на берегу р.Мега («Мега.Парк») в г.Мегионе»(средства местного бюджета)</t>
  </si>
  <si>
    <t>(-) 2 500,0 тыс. рублей - уменьшен объем бюджетных ассигнований для  оплаты фактически выполненных работ по объекту «Парк на берегу р.Мега («Мега.Парк») в г.Мегионе»(средства местного бюджета)</t>
  </si>
  <si>
    <t>(-) 5 615 тыс. рублей - уменьшен объем бюджетных ассигнований для  оплаты фактически выполненных работ по объекту «Парк на берегу р.Мега («Мега.Парк») в г.Мегионе»(средства местного бюджета)</t>
  </si>
  <si>
    <t>(-) 1 461,4 тыс. рублей - уменьшен объем бюджетных ассигнований для  оплаты фактически выполненных работ по объекту «Парк на берегу р.Мега («Мега.Парк») в г.Мегионе»(средства местного бюджета)</t>
  </si>
  <si>
    <t xml:space="preserve">(-) 690,0 тыс. рублей - уменьшен объем бюджетных ассигнований в целях обеспечение  доли софинансирования на обеспечение устойчивого сокращения непригодного для проживания жилищного фонда (средства местного бюджета);                                                                 (-) 75,0 тыс. рублей - уменьшен объем бюджетных ассигнований для оплаты административного штрафа (средства местного бюджета) </t>
  </si>
  <si>
    <t>(+) 999,8 тыс. рублей - увеличен объем бюджетных ассигнований в целях обеспечения доли софинансирования в рамках реализации программ формирования современной городской среды (Городская площадь пгт Высокий);                                                                                 (+) 17 783,4 тыс. рублей - увеличен объем бюджетных ассигнований для  оплаты фактически выполненных работ по объекту «Парк на берегу р.Мега («Мега.Парк») в г.Мегионе»(средства местного бюджета)</t>
  </si>
  <si>
    <t>(+) 5 000,0 тыс. рублей - увеличен объем целевых межбюджетных трансфертов на реализацию мероприятий за счет бюджетных ассигнований резервного фонда Правительства Ханты-Мансийского автономного округа – Югры для закупки чугунных радиаторов и расходных материалов для восстановления теплоснабжения общедомового имущества в многоквартирных домах, циркуляционных насосов для бесперебойного обеспечения магистральных систем теплоснабжения 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3 684,1 тыс. рублей - увеличен объем бюджетных ассигнований в целях заключения муниципальных контрактов на приобретение радиаторов отопления (средства местного бюджета)</t>
  </si>
  <si>
    <t xml:space="preserve">(+) 1 589,6 тыс. рублей - увеличен объем бюджетных ассигнований для оплаты исполнительных документов и административного штрафа (средства местного бюджета); </t>
  </si>
  <si>
    <t>(+) 1001,8 тыс.рублей - увеличен объем бюджетных ассигнований на устранение предписаний надзорных органов (средства местного бюджета)</t>
  </si>
  <si>
    <t>(-) 3 273,5 тыс. рублей - уменьшен объем бюджетных ассигнованийв целях обеспечение  доли софинансирования на обеспечение устойчивого сокращения непригодного для проживания жилищного фонда (средства местного бюджета)</t>
  </si>
  <si>
    <t>(-) 2 000,0 тыс. рублей - уменьшен объем бюджетных ассигнований  в целях обеспечение  доли софинансирования на обеспечение устойчивого сокращения непригодного для проживания жилищного фонда (средства местного бюджета)</t>
  </si>
  <si>
    <t>(+) 134,0 тыс. рублей - увеличен объем бюджетных ассигнований на приобретение экипировки для МАУ «ЦГиПВ им.Е.И.Горбатова» (остаток средств 2022 года -распоряжение Правительства Тюменской области от 20.12.2022 №1348-рп)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691,8 тыс. рублей -  в целях обеспечение  доли софинансирования на обеспечение устойчивого сокращения непригодного для проживания жилищного фонда(средства местного бюджета)</t>
  </si>
  <si>
    <t>(+) 492,2 тыс. рублей - увеличен объем бюджетных ассигнований в целях соблюдения доли софинансирования по соглашению о предоставлении субсидии из бюджета ХМАО-Югры на техническое оснащение региональных и муниципальных музеев</t>
  </si>
  <si>
    <t>(-) 251,5 тыс. рублей - уменьшен объем бюджетных ассигнований в целях обеспечение  доли софинансирования на обеспечение устойчивого сокращения непригодного для проживания жилищного фонда (средства местного бюджета)</t>
  </si>
  <si>
    <t>(-) 2 000,0 тыс. рублей - уменьшен объем бюджетных ассигнований для  оплаты фактически выполненных работ по объекту «Парк на берегу р.Мега («Мега.Парк») в г.Мегионе»(средства местного бюджета);                                                                                                                               (+) 109,3 тыс. рублей - увеличен объем бюджетных ассигнований на снижение и ликвидацию вредного воздействия отходов производства и потребления на окружающую среду  и здоровье населения (средства местного бюджета)</t>
  </si>
  <si>
    <t>(-) 1 514,6 тыс. рублей - уменьшен объем бюджетных ассигнований для оплаты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(-) 150,0 тыс. рублей - уменьшен объем бюджетных ассигнований для оплаты работ по проведению оценки жилых помещений с целью изъятия земельных участков для муниципальных нужд (средства местного бюджета);                                                                                     (+) 215,5 тыс. рублей - увеличен объем бюджетных ассигнований для оплаты работ по ремонту муниципального имущества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(+) 5 000,0 тыс. рублей - увеличен объем целевых межбюджетных трансфертов на реализацию мероприятий за счет бюджетных ассигнований резервного фонда Правительства Ханты-Мансийского автономного округа – Югры для закупки чугунных радиаторов и расходных материалов для восстановления теплоснабжения общедомового имущества в многоквартирных домах, циркуляционных насосов для бесперебойного обеспечения магистральных систем теплоснабжения 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3 684,1 тыс. рублей - увеличен объем бюджетных ассигнований в целях заключения муниципальных контрактов на приобретение радиаторов отопления (средства местного бюджета)</t>
  </si>
  <si>
    <t>(+) 48 615,4 тыс. рублей - увеличен объем бюджетных ассигнований в целях обеспечения доли софинансирования на обеспечение устойчивого сокращения непригодного для проживания жилищного фонда (средства местного бюджета)</t>
  </si>
  <si>
    <t>(+) 150,0 тыс. рублей - увеличен объем бюджетных ассигнований для оплаты работ по проведению оценки жилых помещений с целью изъятия земельных участков для муниципальных нужд (средства местного бюджета);                                                                                   (+) 48 615,4 тыс. рублей - увеличен объем бюджетных ассигнований в целях обеспечения доли софинансирования на обеспечение устойчивого сокращения непригодного для проживания жилищного фонда (средства местного бюджета)</t>
  </si>
  <si>
    <t>(-) 3 684,1 тыс. рублей - уменьшен объем бюджетных ассигнований в целях заключения муниципальных контрактов на приобретение радиаторов отопления (средства местного бюджета)</t>
  </si>
  <si>
    <t>(-) 360,0 тыс. рублей - уменьшен объем бюджетных ассигнований в целях обеспечение  доли софинансирования на обеспечение устойчивого сокращения непригодного для проживания жилищного фонда (средства местного бюджета)</t>
  </si>
  <si>
    <t xml:space="preserve">(+) 98,4 тыс. рублей - увеличен объем бюджетных ассигнований для оплаты судебных расходов по исполнительному листу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</si>
  <si>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(-) 5 503,3 тыс.рублей - уменьшен объем бюджетных ассигнований в целях обеспечение  доли софинансирования на обеспечение устойчивого сокращения непригодного для проживания жилищного фонда (средства местного бюджета)</t>
  </si>
  <si>
    <t>(+) 50,0 тыс. рублей - увеличен объем бюджетных ассигнований на услуги технической поддержки специализированного программного обеспечения «ИСТОК-СМ» в рамках основного мероприятия «Содержание каналов связи, обеспечение информационной безопасности» (средства местного бюджета)</t>
  </si>
  <si>
    <t>(-) 50,0 тыс. рублей - уменьшен объем бюджетных ассигнований на услуги технической поддержки специализированного программного обеспечения «ИСТОК-СМ» в рамках основного мероприятия «Содержание каналов связи, обеспечение информационной безопасности» (средства местного бюджета)</t>
  </si>
  <si>
    <t>(+) 20,0 тыс.рублей - увеличен объем бюджетных ассигнований за счет перераспределения на релизацию мероприятий( средства местного бюджета)</t>
  </si>
  <si>
    <t>(-) 84,6 тыс. рублей - уменьшен объем бюджетных ассигнований за счет перераспределения на релизацию мероприятий (средства местного бюджета)</t>
  </si>
  <si>
    <t>(+) 64,6 тыс. рублей - увеличен объем бюджетных ассигнований за счет перераспределения на релизацию мероприятий (средства местного бюджета)</t>
  </si>
  <si>
    <t xml:space="preserve">    (-) 5 503,3 тыс.рублей - уменьшен объем бюджетных ассигнований в целях обеспечения  доли софинансирования на обеспечение устойчивого сокращения непригодного для проживания жилищного фонда (средства местного бюджета)</t>
  </si>
  <si>
    <t>(-) 175,4 тыс.рублей - уменьшен объем бюджетных ассигнований в целях обеспечения  доли софинансирования на обеспечение устойчивого сокращения непригодного для проживания жилищного фонда (средства местного бюджета)</t>
  </si>
  <si>
    <t>(-) 3 273,5 тыс. рублей - уменьшен объем бюджетных ассигнований в целях обеспечения  доли софинансирования на обеспечение устойчивого сокращения непригодного для проживания жилищного фонда (средства местного бюджета)</t>
  </si>
  <si>
    <t>(-) 251,5 тыс. рублей - уменьшен объем бюджетных ассигнований в целях обеспечения  доли софинансирования на обеспечение устойчивого сокращения непригодного для проживания жилищного фонда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(+) 200,0 тыс. рублей - увеличен объем бюджетных ассигнований на реализацию мероприятий по защите информации органов местного самоуправления  города Мегиона (средства местного бюджета)</t>
  </si>
  <si>
    <t>(-) 15 000,0 тыс. рублей - уменьшен объем бюджетных ассигнований в целях обеспечения  доли софинансирования на обеспечение устойчивого сокращения непригодного для проживания жилищного фонда (средства местного бюджета)</t>
  </si>
  <si>
    <t>(-) 690,0 тыс. рублей - уменьшен объем бюджетных ассигнований в целях обеспечения  доли софинансирования на обеспечение устойчивого сокращения непригодного для проживания жилищного фонда (средства местного бюджета);                                                                                                                (-) 75,0 тыс. рублей - уменьшен объем бюджетных ассигнований для оплаты административного штрафа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(-) 3 684,1 тыс. рублей - уменьшен объем бюджетных ассигнований в целях заключения муниципальных контрактов на приобретение радиаторов отопления (средства местного бюджета)</t>
  </si>
  <si>
    <t>(+) 134,0 тыс. рублей - увеличен объем бюджетных ассигнований на приобретение экипировки для МАУ «ЦГиПВ им.Е.И.Горбатова» (остаток средств 2022 года -распоряжение Правительства Тюменской области от 20.12.2022 №1348-рп)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691,8 тыс. рублей -  уменьшен объем бюджетных ассигнований в целях обеспечения  доли софинансирования на обеспечение устойчивого сокращения непригодного для проживания жилищного фонда(средства местного бюджета)</t>
  </si>
  <si>
    <t>(-) 2 000,0 тыс. рублей - уменьшен объем бюджетных ассигнований  в целях обеспечения  доли софинансирования на обеспечение устойчивого сокращения непригодного для проживания жилищного фонда (средства местного бюджета)</t>
  </si>
  <si>
    <t>(+) 106,7 тыс. рублей - увеличен объем бюджетных ассигнований за счет перераспределения на релизацию мероприятий в области образования</t>
  </si>
  <si>
    <t xml:space="preserve">(-) 8 115,0 тыс. рублей - уменьшен объем бюджетных ассигнований для  оплаты фактически выполненных работ по объекту «Парк на берегу р.Мега («Мега.Парк») в г.Мегионе»(средства местного бюджета);                                                                                                                                                                 </t>
  </si>
  <si>
    <t xml:space="preserve">(-) 360,0 тыс. рублей - уменьшен объем бюджетных ассигнований в целях обеспечения  доли софинансирования на обеспечение устойчивого сокращения непригодного для проживания жилищного фонда (средства местного бюджета);                                                                                                                                    (+) 98,4 тыс. рублей - увеличен объем бюджетных ассигнований для оплаты судебных расходов по исполнительному листу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</t>
  </si>
  <si>
    <t>(-) 142,3 тыс. рублей - уменьшен объем бюджетных ассигнований за счет перераспределения на релизацию мероприятий в области образования;                                                                                       (-) 8 075,0 тыс.рублей - уменьшен объем бюджетных ассигнований в целях обеспечение  доли софинансирования на обеспечение устойчивого сокращения непригодного для проживания жилищного фонда (средства местного бюджета)</t>
  </si>
  <si>
    <t>(+) 142,3 тыс. рублей - увеличен объем бюджетных ассигнований за счет перераспределения на релизацию мероприятий в области образования (средства местного бюджета)</t>
  </si>
  <si>
    <t>(+) 4 074,5 тыс. рублей - увеличен объем бюджетных ассигнований на организацию летнего отдыха, оздоровления, занятости детей, подростков и молодежи (благотворительные пожертвования ПАО " СН-МНГ" - остаток неиспользованных средств 2022 года)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142,3 тыс. рублей - уменьшен объем бюджетных ассигнований за счет перераспределения на релизацию мероприятий в области образования(средства местного бюджета);                                                                                                                                                                                               (-) 8 075,0 тыс.рублей  - уменьшен объем бюджетных ассигнований в целях обеспечения  доли софинансирования на обеспечение устойчивого сокращения непригодного для проживания жилищного фонда (средства местного бюджета)</t>
  </si>
  <si>
    <t>Решение Думы города Мегиона от 07.12.2022 №247 (утверждённый бюджет)                                                      (тыс. рублей)</t>
  </si>
  <si>
    <t xml:space="preserve">(+) 492,2 тыс. рублей - увеличен объем бюджетных ассигнований  в целях соблюдения доли софинансирования по соглашению о предоставлении субсидии из бюджета ХМАО-Югры на техническое оснащение региональных и муниципальных музеев (средства местного бюджета);                                                                                                                                                                    (+) 1001,8 тыс.рублей - увеличен объем бюджетных ассигнований на устранение предписаний надзорных органов (средства местного бюджета)   </t>
  </si>
  <si>
    <t>(+) 999,8 тыс. рублей - увеличен объем бюджетных ассигнований в целях обеспечения доли софинансирования в рамках реализации программ формирования современной городской среды (Городская площадь пгт Высокий)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17 783,4 тыс. рублей - увеличен объем бюджетных ассигнований для  оплаты фактически выполненных работ по объекту «Парк на берегу р.Мега («Мега.Парк») в г.Мегионе»(средства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</si>
</sst>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;[Red]\-#,##0.00;0.00"/>
    <numFmt numFmtId="165" formatCode="0000000000"/>
    <numFmt numFmtId="166" formatCode="00.0.00.00000"/>
    <numFmt numFmtId="167" formatCode="#,##0.0;[Red]\-#,##0.0;0.0"/>
    <numFmt numFmtId="168" formatCode="#,##0.00_ ;[Red]\-#,##0.00\ 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2" fillId="0" borderId="0"/>
    <xf numFmtId="0" fontId="1" fillId="0" borderId="38" applyNumberFormat="0">
      <alignment horizontal="righ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</cellStyleXfs>
  <cellXfs count="245">
    <xf numFmtId="0" fontId="0" fillId="0" borderId="0" xfId="0"/>
    <xf numFmtId="0" fontId="1" fillId="0" borderId="0" xfId="1" applyProtection="1">
      <protection hidden="1"/>
    </xf>
    <xf numFmtId="0" fontId="3" fillId="0" borderId="14" xfId="1" applyFont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wrapText="1"/>
      <protection hidden="1"/>
    </xf>
    <xf numFmtId="0" fontId="9" fillId="0" borderId="22" xfId="1" applyFont="1" applyBorder="1" applyProtection="1"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8" fillId="0" borderId="7" xfId="3" applyFont="1" applyBorder="1" applyAlignment="1" applyProtection="1">
      <alignment horizontal="center" vertical="center" wrapText="1"/>
      <protection hidden="1"/>
    </xf>
    <xf numFmtId="164" fontId="3" fillId="0" borderId="6" xfId="1" applyNumberFormat="1" applyFont="1" applyBorder="1" applyAlignment="1" applyProtection="1">
      <alignment horizontal="left" vertical="center" wrapText="1"/>
      <protection hidden="1"/>
    </xf>
    <xf numFmtId="49" fontId="3" fillId="0" borderId="7" xfId="1" applyNumberFormat="1" applyFont="1" applyBorder="1" applyAlignment="1" applyProtection="1">
      <alignment horizontal="center" vertical="center" wrapText="1"/>
      <protection hidden="1"/>
    </xf>
    <xf numFmtId="0" fontId="1" fillId="0" borderId="34" xfId="1" applyBorder="1" applyProtection="1">
      <protection hidden="1"/>
    </xf>
    <xf numFmtId="0" fontId="1" fillId="0" borderId="22" xfId="1" applyBorder="1" applyProtection="1">
      <protection hidden="1"/>
    </xf>
    <xf numFmtId="166" fontId="3" fillId="0" borderId="10" xfId="1" applyNumberFormat="1" applyFont="1" applyBorder="1" applyAlignment="1" applyProtection="1">
      <alignment horizontal="left" vertical="center" wrapText="1"/>
      <protection hidden="1"/>
    </xf>
    <xf numFmtId="165" fontId="3" fillId="0" borderId="4" xfId="1" applyNumberFormat="1" applyFont="1" applyBorder="1" applyAlignment="1" applyProtection="1">
      <alignment horizontal="center" vertical="center" wrapText="1"/>
      <protection hidden="1"/>
    </xf>
    <xf numFmtId="165" fontId="3" fillId="0" borderId="8" xfId="1" applyNumberFormat="1" applyFont="1" applyBorder="1" applyAlignment="1" applyProtection="1">
      <alignment horizontal="center" vertical="center" wrapText="1"/>
      <protection hidden="1"/>
    </xf>
    <xf numFmtId="0" fontId="1" fillId="0" borderId="8" xfId="1" applyBorder="1" applyAlignment="1">
      <alignment horizontal="left" vertical="center" wrapText="1"/>
    </xf>
    <xf numFmtId="164" fontId="3" fillId="0" borderId="8" xfId="1" applyNumberFormat="1" applyFont="1" applyBorder="1" applyAlignment="1" applyProtection="1">
      <alignment vertical="center"/>
      <protection hidden="1"/>
    </xf>
    <xf numFmtId="164" fontId="3" fillId="0" borderId="7" xfId="1" applyNumberFormat="1" applyFont="1" applyBorder="1" applyAlignment="1" applyProtection="1">
      <alignment vertical="center"/>
      <protection hidden="1"/>
    </xf>
    <xf numFmtId="49" fontId="3" fillId="0" borderId="4" xfId="1" applyNumberFormat="1" applyFont="1" applyBorder="1" applyAlignment="1" applyProtection="1">
      <alignment horizontal="center" vertical="center" wrapText="1"/>
      <protection hidden="1"/>
    </xf>
    <xf numFmtId="164" fontId="11" fillId="0" borderId="6" xfId="1" applyNumberFormat="1" applyFont="1" applyBorder="1" applyAlignment="1" applyProtection="1">
      <alignment horizontal="left" vertical="center" wrapText="1"/>
      <protection hidden="1"/>
    </xf>
    <xf numFmtId="167" fontId="3" fillId="0" borderId="6" xfId="3" applyNumberFormat="1" applyFont="1" applyBorder="1" applyAlignment="1" applyProtection="1">
      <alignment vertical="center" wrapText="1"/>
      <protection hidden="1"/>
    </xf>
    <xf numFmtId="0" fontId="10" fillId="0" borderId="6" xfId="0" applyFont="1" applyBorder="1" applyAlignment="1">
      <alignment horizontal="justify" vertical="center"/>
    </xf>
    <xf numFmtId="164" fontId="10" fillId="0" borderId="6" xfId="1" applyNumberFormat="1" applyFont="1" applyBorder="1" applyAlignment="1" applyProtection="1">
      <alignment horizontal="left" vertical="center" wrapText="1"/>
      <protection hidden="1"/>
    </xf>
    <xf numFmtId="165" fontId="3" fillId="0" borderId="35" xfId="1" applyNumberFormat="1" applyFont="1" applyBorder="1" applyAlignment="1" applyProtection="1">
      <alignment horizontal="center" vertical="center" wrapText="1"/>
      <protection hidden="1"/>
    </xf>
    <xf numFmtId="0" fontId="3" fillId="0" borderId="35" xfId="1" applyFont="1" applyBorder="1" applyAlignment="1" applyProtection="1">
      <alignment horizontal="center" vertical="center" wrapText="1"/>
      <protection hidden="1"/>
    </xf>
    <xf numFmtId="164" fontId="3" fillId="0" borderId="35" xfId="1" applyNumberFormat="1" applyFont="1" applyBorder="1" applyAlignment="1" applyProtection="1">
      <alignment vertical="center"/>
      <protection hidden="1"/>
    </xf>
    <xf numFmtId="164" fontId="3" fillId="0" borderId="36" xfId="1" applyNumberFormat="1" applyFont="1" applyBorder="1" applyAlignment="1" applyProtection="1">
      <alignment vertical="center"/>
      <protection hidden="1"/>
    </xf>
    <xf numFmtId="0" fontId="10" fillId="0" borderId="37" xfId="0" applyFont="1" applyBorder="1" applyAlignment="1">
      <alignment horizontal="justify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2" fillId="0" borderId="2" xfId="1" applyFont="1" applyBorder="1" applyAlignment="1" applyProtection="1">
      <alignment vertical="center" wrapText="1"/>
      <protection hidden="1"/>
    </xf>
    <xf numFmtId="0" fontId="2" fillId="0" borderId="22" xfId="1" applyFont="1" applyBorder="1" applyAlignment="1" applyProtection="1">
      <alignment vertical="center" wrapText="1"/>
      <protection hidden="1"/>
    </xf>
    <xf numFmtId="0" fontId="1" fillId="0" borderId="0" xfId="1"/>
    <xf numFmtId="0" fontId="1" fillId="0" borderId="17" xfId="1" applyBorder="1" applyProtection="1">
      <protection hidden="1"/>
    </xf>
    <xf numFmtId="0" fontId="1" fillId="0" borderId="2" xfId="1" applyBorder="1" applyProtection="1"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1" fillId="0" borderId="15" xfId="1" applyBorder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Border="1"/>
    <xf numFmtId="168" fontId="1" fillId="0" borderId="0" xfId="1" applyNumberFormat="1"/>
    <xf numFmtId="0" fontId="1" fillId="0" borderId="14" xfId="1" applyBorder="1" applyProtection="1">
      <protection hidden="1"/>
    </xf>
    <xf numFmtId="166" fontId="3" fillId="0" borderId="10" xfId="1" applyNumberFormat="1" applyFont="1" applyBorder="1" applyAlignment="1" applyProtection="1">
      <alignment wrapText="1"/>
      <protection hidden="1"/>
    </xf>
    <xf numFmtId="166" fontId="3" fillId="0" borderId="0" xfId="1" applyNumberFormat="1" applyFont="1" applyAlignment="1" applyProtection="1">
      <alignment wrapText="1"/>
      <protection hidden="1"/>
    </xf>
    <xf numFmtId="0" fontId="1" fillId="0" borderId="0" xfId="1" applyAlignment="1">
      <alignment vertical="top"/>
    </xf>
    <xf numFmtId="166" fontId="8" fillId="0" borderId="10" xfId="1" applyNumberFormat="1" applyFont="1" applyBorder="1" applyAlignment="1" applyProtection="1">
      <alignment horizontal="left" vertical="center" wrapText="1"/>
      <protection hidden="1"/>
    </xf>
    <xf numFmtId="166" fontId="3" fillId="0" borderId="22" xfId="1" applyNumberFormat="1" applyFont="1" applyBorder="1" applyAlignment="1" applyProtection="1">
      <alignment wrapText="1"/>
      <protection hidden="1"/>
    </xf>
    <xf numFmtId="166" fontId="3" fillId="0" borderId="22" xfId="1" applyNumberFormat="1" applyFont="1" applyBorder="1" applyAlignment="1" applyProtection="1">
      <alignment horizontal="left" vertical="center" wrapText="1"/>
      <protection hidden="1"/>
    </xf>
    <xf numFmtId="4" fontId="1" fillId="0" borderId="0" xfId="1" applyNumberFormat="1" applyProtection="1">
      <protection hidden="1"/>
    </xf>
    <xf numFmtId="165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Font="1" applyFill="1" applyBorder="1" applyAlignment="1" applyProtection="1">
      <alignment horizontal="center" vertical="center" wrapText="1"/>
      <protection hidden="1"/>
    </xf>
    <xf numFmtId="164" fontId="5" fillId="2" borderId="12" xfId="1" applyNumberFormat="1" applyFont="1" applyFill="1" applyBorder="1" applyAlignment="1" applyProtection="1">
      <alignment vertical="center"/>
      <protection hidden="1"/>
    </xf>
    <xf numFmtId="164" fontId="2" fillId="2" borderId="11" xfId="1" applyNumberFormat="1" applyFont="1" applyFill="1" applyBorder="1" applyAlignment="1" applyProtection="1">
      <alignment horizontal="left" vertical="center" wrapText="1"/>
      <protection hidden="1"/>
    </xf>
    <xf numFmtId="165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vertical="center"/>
      <protection hidden="1"/>
    </xf>
    <xf numFmtId="164" fontId="5" fillId="2" borderId="7" xfId="1" applyNumberFormat="1" applyFont="1" applyFill="1" applyBorder="1" applyAlignment="1" applyProtection="1">
      <alignment vertical="center"/>
      <protection hidden="1"/>
    </xf>
    <xf numFmtId="164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horizontal="right" vertical="center"/>
      <protection hidden="1"/>
    </xf>
    <xf numFmtId="0" fontId="5" fillId="2" borderId="7" xfId="1" applyFont="1" applyFill="1" applyBorder="1" applyAlignment="1" applyProtection="1">
      <alignment horizontal="left" vertical="center" wrapText="1"/>
      <protection hidden="1"/>
    </xf>
    <xf numFmtId="164" fontId="5" fillId="2" borderId="7" xfId="1" applyNumberFormat="1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>
      <alignment horizontal="left" vertical="center" wrapText="1"/>
    </xf>
    <xf numFmtId="165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164" fontId="3" fillId="3" borderId="6" xfId="1" applyNumberFormat="1" applyFont="1" applyFill="1" applyBorder="1" applyAlignment="1" applyProtection="1">
      <alignment horizontal="left" vertical="center" wrapText="1"/>
      <protection hidden="1"/>
    </xf>
    <xf numFmtId="49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11" fillId="3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6" xfId="3" applyNumberFormat="1" applyFont="1" applyFill="1" applyBorder="1" applyAlignment="1" applyProtection="1">
      <alignment vertical="center" wrapText="1"/>
      <protection hidden="1"/>
    </xf>
    <xf numFmtId="164" fontId="3" fillId="3" borderId="6" xfId="1" applyNumberFormat="1" applyFont="1" applyFill="1" applyBorder="1" applyAlignment="1" applyProtection="1">
      <alignment horizontal="left" vertical="top" wrapText="1"/>
      <protection hidden="1"/>
    </xf>
    <xf numFmtId="164" fontId="10" fillId="3" borderId="6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6" xfId="1" applyNumberFormat="1" applyFont="1" applyBorder="1" applyAlignment="1" applyProtection="1">
      <alignment horizontal="left" vertical="center" wrapText="1"/>
      <protection hidden="1"/>
    </xf>
    <xf numFmtId="164" fontId="3" fillId="4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9" xfId="1" applyFont="1" applyBorder="1" applyAlignment="1" applyProtection="1">
      <alignment horizontal="center" vertical="center"/>
      <protection hidden="1"/>
    </xf>
    <xf numFmtId="164" fontId="3" fillId="0" borderId="33" xfId="1" applyNumberFormat="1" applyFont="1" applyBorder="1" applyAlignment="1" applyProtection="1">
      <alignment horizontal="left" vertical="center" wrapText="1"/>
      <protection hidden="1"/>
    </xf>
    <xf numFmtId="14" fontId="1" fillId="0" borderId="0" xfId="1" applyNumberFormat="1"/>
    <xf numFmtId="166" fontId="8" fillId="0" borderId="9" xfId="1" applyNumberFormat="1" applyFont="1" applyBorder="1" applyAlignment="1" applyProtection="1">
      <alignment horizontal="left" vertical="center" wrapText="1"/>
      <protection hidden="1"/>
    </xf>
    <xf numFmtId="49" fontId="3" fillId="0" borderId="8" xfId="1" applyNumberFormat="1" applyFont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10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6" xfId="1" applyNumberFormat="1" applyFont="1" applyBorder="1" applyAlignment="1" applyProtection="1">
      <alignment vertical="top" wrapText="1"/>
      <protection hidden="1"/>
    </xf>
    <xf numFmtId="0" fontId="5" fillId="2" borderId="26" xfId="1" applyFont="1" applyFill="1" applyBorder="1" applyAlignment="1" applyProtection="1">
      <alignment horizontal="center" vertical="center" wrapText="1"/>
      <protection hidden="1"/>
    </xf>
    <xf numFmtId="164" fontId="3" fillId="2" borderId="32" xfId="1" applyNumberFormat="1" applyFont="1" applyFill="1" applyBorder="1" applyAlignment="1" applyProtection="1">
      <alignment horizontal="left" vertical="center" wrapText="1"/>
      <protection hidden="1"/>
    </xf>
    <xf numFmtId="40" fontId="2" fillId="2" borderId="41" xfId="1" applyNumberFormat="1" applyFont="1" applyFill="1" applyBorder="1" applyAlignment="1" applyProtection="1">
      <alignment horizontal="right" vertical="center"/>
      <protection hidden="1"/>
    </xf>
    <xf numFmtId="40" fontId="2" fillId="2" borderId="43" xfId="1" applyNumberFormat="1" applyFont="1" applyFill="1" applyBorder="1" applyAlignment="1" applyProtection="1">
      <alignment horizontal="right" vertical="center"/>
      <protection hidden="1"/>
    </xf>
    <xf numFmtId="40" fontId="2" fillId="2" borderId="44" xfId="1" applyNumberFormat="1" applyFont="1" applyFill="1" applyBorder="1" applyAlignment="1" applyProtection="1">
      <alignment vertical="center"/>
      <protection hidden="1"/>
    </xf>
    <xf numFmtId="164" fontId="2" fillId="2" borderId="12" xfId="1" applyNumberFormat="1" applyFont="1" applyFill="1" applyBorder="1" applyAlignment="1" applyProtection="1">
      <alignment vertical="center"/>
      <protection hidden="1"/>
    </xf>
    <xf numFmtId="0" fontId="7" fillId="0" borderId="0" xfId="2" applyFont="1" applyAlignment="1">
      <alignment horizontal="right"/>
    </xf>
    <xf numFmtId="164" fontId="3" fillId="0" borderId="45" xfId="1" applyNumberFormat="1" applyFont="1" applyBorder="1" applyAlignment="1" applyProtection="1">
      <alignment vertical="center"/>
      <protection hidden="1"/>
    </xf>
    <xf numFmtId="164" fontId="3" fillId="3" borderId="46" xfId="1" applyNumberFormat="1" applyFont="1" applyFill="1" applyBorder="1" applyAlignment="1" applyProtection="1">
      <alignment horizontal="right" vertical="center"/>
      <protection hidden="1"/>
    </xf>
    <xf numFmtId="164" fontId="3" fillId="3" borderId="45" xfId="1" applyNumberFormat="1" applyFont="1" applyFill="1" applyBorder="1" applyAlignment="1" applyProtection="1">
      <alignment horizontal="right" vertical="center"/>
      <protection hidden="1"/>
    </xf>
    <xf numFmtId="164" fontId="5" fillId="2" borderId="46" xfId="1" applyNumberFormat="1" applyFont="1" applyFill="1" applyBorder="1" applyAlignment="1" applyProtection="1">
      <alignment vertical="center"/>
      <protection hidden="1"/>
    </xf>
    <xf numFmtId="164" fontId="2" fillId="0" borderId="7" xfId="1" applyNumberFormat="1" applyFont="1" applyBorder="1" applyAlignment="1" applyProtection="1">
      <alignment vertical="center"/>
      <protection hidden="1"/>
    </xf>
    <xf numFmtId="164" fontId="2" fillId="0" borderId="7" xfId="1" applyNumberFormat="1" applyFont="1" applyBorder="1" applyAlignment="1" applyProtection="1">
      <alignment horizontal="right" vertical="center"/>
      <protection hidden="1"/>
    </xf>
    <xf numFmtId="164" fontId="5" fillId="0" borderId="7" xfId="1" applyNumberFormat="1" applyFont="1" applyBorder="1" applyAlignment="1" applyProtection="1">
      <alignment vertical="center"/>
      <protection hidden="1"/>
    </xf>
    <xf numFmtId="164" fontId="5" fillId="0" borderId="46" xfId="1" applyNumberFormat="1" applyFont="1" applyBorder="1" applyAlignment="1" applyProtection="1">
      <alignment vertical="center"/>
      <protection hidden="1"/>
    </xf>
    <xf numFmtId="164" fontId="2" fillId="0" borderId="8" xfId="1" applyNumberFormat="1" applyFont="1" applyBorder="1" applyAlignment="1" applyProtection="1">
      <alignment vertical="center"/>
      <protection hidden="1"/>
    </xf>
    <xf numFmtId="164" fontId="2" fillId="0" borderId="45" xfId="1" applyNumberFormat="1" applyFont="1" applyBorder="1" applyAlignment="1" applyProtection="1">
      <alignment vertical="center"/>
      <protection hidden="1"/>
    </xf>
    <xf numFmtId="0" fontId="10" fillId="0" borderId="47" xfId="0" applyFont="1" applyBorder="1" applyAlignment="1">
      <alignment wrapText="1"/>
    </xf>
    <xf numFmtId="0" fontId="10" fillId="4" borderId="8" xfId="0" applyFont="1" applyFill="1" applyBorder="1" applyAlignment="1">
      <alignment vertical="top" wrapText="1"/>
    </xf>
    <xf numFmtId="165" fontId="5" fillId="0" borderId="13" xfId="1" applyNumberFormat="1" applyFont="1" applyBorder="1" applyAlignment="1" applyProtection="1">
      <alignment horizontal="center" vertical="center" wrapText="1"/>
      <protection hidden="1"/>
    </xf>
    <xf numFmtId="0" fontId="5" fillId="0" borderId="12" xfId="1" applyFont="1" applyBorder="1" applyAlignment="1" applyProtection="1">
      <alignment horizontal="center" vertical="center" wrapText="1"/>
      <protection hidden="1"/>
    </xf>
    <xf numFmtId="164" fontId="5" fillId="0" borderId="12" xfId="1" applyNumberFormat="1" applyFont="1" applyBorder="1" applyAlignment="1" applyProtection="1">
      <alignment vertical="center"/>
      <protection hidden="1"/>
    </xf>
    <xf numFmtId="164" fontId="2" fillId="0" borderId="11" xfId="1" applyNumberFormat="1" applyFont="1" applyBorder="1" applyAlignment="1" applyProtection="1">
      <alignment horizontal="left" vertical="center" wrapText="1"/>
      <protection hidden="1"/>
    </xf>
    <xf numFmtId="165" fontId="5" fillId="0" borderId="4" xfId="1" applyNumberFormat="1" applyFont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Border="1" applyAlignment="1" applyProtection="1">
      <alignment horizontal="left" vertical="center" wrapText="1"/>
      <protection hidden="1"/>
    </xf>
    <xf numFmtId="165" fontId="2" fillId="0" borderId="4" xfId="1" applyNumberFormat="1" applyFont="1" applyBorder="1" applyAlignment="1" applyProtection="1">
      <alignment horizontal="center" vertical="center" wrapText="1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 applyProtection="1">
      <alignment horizontal="left" vertical="center" wrapText="1"/>
      <protection hidden="1"/>
    </xf>
    <xf numFmtId="164" fontId="5" fillId="0" borderId="7" xfId="1" applyNumberFormat="1" applyFont="1" applyBorder="1" applyAlignment="1" applyProtection="1">
      <alignment horizontal="right" vertical="center"/>
      <protection hidden="1"/>
    </xf>
    <xf numFmtId="0" fontId="10" fillId="0" borderId="6" xfId="0" applyFont="1" applyBorder="1" applyAlignment="1">
      <alignment vertical="center" wrapText="1"/>
    </xf>
    <xf numFmtId="0" fontId="5" fillId="0" borderId="26" xfId="1" applyFont="1" applyBorder="1" applyAlignment="1" applyProtection="1">
      <alignment horizontal="center" vertical="center" wrapText="1"/>
      <protection hidden="1"/>
    </xf>
    <xf numFmtId="40" fontId="2" fillId="0" borderId="44" xfId="1" applyNumberFormat="1" applyFont="1" applyBorder="1" applyAlignment="1" applyProtection="1">
      <alignment vertical="center"/>
      <protection hidden="1"/>
    </xf>
    <xf numFmtId="167" fontId="15" fillId="0" borderId="7" xfId="46" applyNumberFormat="1" applyFont="1" applyBorder="1" applyAlignment="1" applyProtection="1">
      <alignment vertical="center"/>
      <protection hidden="1"/>
    </xf>
    <xf numFmtId="164" fontId="3" fillId="0" borderId="32" xfId="1" applyNumberFormat="1" applyFont="1" applyBorder="1" applyAlignment="1" applyProtection="1">
      <alignment horizontal="left" vertical="center" wrapText="1"/>
      <protection hidden="1"/>
    </xf>
    <xf numFmtId="167" fontId="15" fillId="0" borderId="7" xfId="0" applyNumberFormat="1" applyFont="1" applyBorder="1" applyAlignment="1" applyProtection="1">
      <alignment vertical="center"/>
      <protection hidden="1"/>
    </xf>
    <xf numFmtId="0" fontId="3" fillId="0" borderId="46" xfId="1" applyFont="1" applyBorder="1" applyAlignment="1" applyProtection="1">
      <alignment horizontal="center" vertical="center" wrapText="1"/>
      <protection hidden="1"/>
    </xf>
    <xf numFmtId="0" fontId="2" fillId="0" borderId="46" xfId="1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7" xfId="0" applyNumberFormat="1" applyFont="1" applyBorder="1" applyAlignment="1" applyProtection="1">
      <alignment vertical="center"/>
      <protection hidden="1"/>
    </xf>
    <xf numFmtId="167" fontId="3" fillId="0" borderId="7" xfId="0" applyNumberFormat="1" applyFont="1" applyBorder="1" applyAlignment="1" applyProtection="1">
      <alignment vertical="center"/>
      <protection hidden="1"/>
    </xf>
    <xf numFmtId="165" fontId="3" fillId="0" borderId="4" xfId="0" applyNumberFormat="1" applyFont="1" applyBorder="1" applyAlignment="1" applyProtection="1">
      <alignment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40" fontId="2" fillId="0" borderId="48" xfId="1" applyNumberFormat="1" applyFont="1" applyBorder="1" applyAlignment="1" applyProtection="1">
      <alignment horizontal="right" vertical="center"/>
      <protection hidden="1"/>
    </xf>
    <xf numFmtId="0" fontId="2" fillId="0" borderId="0" xfId="1" applyFont="1" applyAlignment="1" applyProtection="1">
      <alignment vertical="center" wrapText="1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37" xfId="0" applyFont="1" applyBorder="1" applyAlignment="1">
      <alignment horizontal="justify" vertical="center"/>
    </xf>
    <xf numFmtId="0" fontId="2" fillId="0" borderId="16" xfId="1" applyFont="1" applyBorder="1" applyAlignment="1" applyProtection="1">
      <alignment horizontal="center" vertical="center" wrapText="1"/>
      <protection hidden="1"/>
    </xf>
    <xf numFmtId="0" fontId="5" fillId="0" borderId="3" xfId="1" applyFont="1" applyBorder="1" applyAlignment="1" applyProtection="1">
      <alignment horizontal="center" vertical="center" wrapText="1"/>
      <protection hidden="1"/>
    </xf>
    <xf numFmtId="0" fontId="5" fillId="0" borderId="18" xfId="1" applyFont="1" applyBorder="1" applyAlignment="1" applyProtection="1">
      <alignment horizontal="center" vertical="center" wrapText="1"/>
      <protection hidden="1"/>
    </xf>
    <xf numFmtId="0" fontId="5" fillId="0" borderId="15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34" xfId="1" applyFont="1" applyBorder="1" applyAlignment="1" applyProtection="1">
      <alignment horizontal="center" vertical="center" wrapText="1"/>
      <protection hidden="1"/>
    </xf>
    <xf numFmtId="0" fontId="2" fillId="0" borderId="15" xfId="1" applyFont="1" applyBorder="1" applyAlignment="1" applyProtection="1">
      <alignment horizontal="center" vertical="center" wrapText="1"/>
      <protection hidden="1"/>
    </xf>
    <xf numFmtId="0" fontId="2" fillId="0" borderId="14" xfId="1" applyFont="1" applyBorder="1" applyAlignment="1" applyProtection="1">
      <alignment horizontal="center" vertical="center" wrapText="1"/>
      <protection hidden="1"/>
    </xf>
    <xf numFmtId="0" fontId="2" fillId="0" borderId="34" xfId="1" applyFont="1" applyBorder="1" applyAlignment="1" applyProtection="1">
      <alignment horizontal="center" vertical="center" wrapText="1"/>
      <protection hidden="1"/>
    </xf>
    <xf numFmtId="164" fontId="3" fillId="3" borderId="26" xfId="1" applyNumberFormat="1" applyFont="1" applyFill="1" applyBorder="1" applyAlignment="1" applyProtection="1">
      <alignment horizontal="right" vertical="center"/>
      <protection hidden="1"/>
    </xf>
    <xf numFmtId="164" fontId="3" fillId="3" borderId="19" xfId="1" applyNumberFormat="1" applyFont="1" applyFill="1" applyBorder="1" applyAlignment="1" applyProtection="1">
      <alignment horizontal="right" vertical="center"/>
      <protection hidden="1"/>
    </xf>
    <xf numFmtId="0" fontId="3" fillId="3" borderId="26" xfId="1" applyFont="1" applyFill="1" applyBorder="1" applyAlignment="1" applyProtection="1">
      <alignment horizontal="center" vertical="center" wrapText="1"/>
      <protection hidden="1"/>
    </xf>
    <xf numFmtId="0" fontId="3" fillId="3" borderId="19" xfId="1" applyFont="1" applyFill="1" applyBorder="1" applyAlignment="1" applyProtection="1">
      <alignment horizontal="center" vertical="center" wrapText="1"/>
      <protection hidden="1"/>
    </xf>
    <xf numFmtId="0" fontId="3" fillId="3" borderId="26" xfId="1" applyFont="1" applyFill="1" applyBorder="1" applyAlignment="1" applyProtection="1">
      <alignment horizontal="center" vertical="top" wrapText="1"/>
      <protection hidden="1"/>
    </xf>
    <xf numFmtId="0" fontId="3" fillId="3" borderId="19" xfId="1" applyFont="1" applyFill="1" applyBorder="1" applyAlignment="1" applyProtection="1">
      <alignment horizontal="center" vertical="top" wrapText="1"/>
      <protection hidden="1"/>
    </xf>
    <xf numFmtId="166" fontId="3" fillId="3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3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Border="1" applyAlignment="1" applyProtection="1">
      <alignment horizontal="left" vertical="center" wrapText="1"/>
      <protection hidden="1"/>
    </xf>
    <xf numFmtId="166" fontId="8" fillId="0" borderId="8" xfId="1" applyNumberFormat="1" applyFont="1" applyBorder="1" applyAlignment="1" applyProtection="1">
      <alignment horizontal="left" vertical="center" wrapText="1"/>
      <protection hidden="1"/>
    </xf>
    <xf numFmtId="166" fontId="8" fillId="3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165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4" xfId="1" applyNumberFormat="1" applyFont="1" applyBorder="1" applyAlignment="1" applyProtection="1">
      <alignment horizontal="left" vertical="center" wrapText="1"/>
      <protection hidden="1"/>
    </xf>
    <xf numFmtId="166" fontId="3" fillId="0" borderId="23" xfId="1" applyNumberFormat="1" applyFont="1" applyBorder="1" applyAlignment="1" applyProtection="1">
      <alignment horizontal="left" vertical="center" wrapText="1"/>
      <protection hidden="1"/>
    </xf>
    <xf numFmtId="166" fontId="2" fillId="2" borderId="10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7" xfId="1" applyNumberFormat="1" applyFont="1" applyBorder="1" applyAlignment="1" applyProtection="1">
      <alignment horizontal="left" vertical="center" wrapText="1"/>
      <protection hidden="1"/>
    </xf>
    <xf numFmtId="0" fontId="2" fillId="0" borderId="17" xfId="1" applyFont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2" fillId="0" borderId="3" xfId="1" applyFont="1" applyBorder="1" applyAlignment="1" applyProtection="1">
      <alignment horizontal="center" vertical="center" wrapText="1"/>
      <protection hidden="1"/>
    </xf>
    <xf numFmtId="0" fontId="2" fillId="0" borderId="22" xfId="1" applyFont="1" applyBorder="1" applyAlignment="1" applyProtection="1">
      <alignment horizontal="center" vertical="center" wrapText="1"/>
      <protection hidden="1"/>
    </xf>
    <xf numFmtId="0" fontId="2" fillId="0" borderId="21" xfId="1" applyFont="1" applyBorder="1" applyAlignment="1" applyProtection="1">
      <alignment horizontal="center" vertical="center" wrapText="1"/>
      <protection hidden="1"/>
    </xf>
    <xf numFmtId="0" fontId="2" fillId="0" borderId="18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6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5" fillId="0" borderId="22" xfId="1" applyFont="1" applyBorder="1" applyAlignment="1" applyProtection="1">
      <alignment horizontal="center" vertical="center" wrapText="1"/>
      <protection hidden="1"/>
    </xf>
    <xf numFmtId="0" fontId="5" fillId="0" borderId="21" xfId="1" applyFont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Border="1" applyAlignment="1" applyProtection="1">
      <alignment horizontal="left" vertical="center" wrapText="1"/>
      <protection hidden="1"/>
    </xf>
    <xf numFmtId="166" fontId="8" fillId="0" borderId="23" xfId="1" applyNumberFormat="1" applyFont="1" applyBorder="1" applyAlignment="1" applyProtection="1">
      <alignment horizontal="left" vertical="center" wrapText="1"/>
      <protection hidden="1"/>
    </xf>
    <xf numFmtId="166" fontId="3" fillId="3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5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0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1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7" xfId="1" applyNumberFormat="1" applyFont="1" applyBorder="1" applyAlignment="1" applyProtection="1">
      <alignment horizontal="left" vertical="center" wrapText="1"/>
      <protection hidden="1"/>
    </xf>
    <xf numFmtId="166" fontId="5" fillId="2" borderId="27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8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0" xfId="1" applyFont="1" applyFill="1" applyBorder="1" applyAlignment="1" applyProtection="1">
      <alignment horizontal="center" vertical="center"/>
      <protection hidden="1"/>
    </xf>
    <xf numFmtId="0" fontId="9" fillId="2" borderId="41" xfId="1" applyFont="1" applyFill="1" applyBorder="1" applyAlignment="1" applyProtection="1">
      <alignment horizontal="center" vertical="center"/>
      <protection hidden="1"/>
    </xf>
    <xf numFmtId="0" fontId="9" fillId="2" borderId="42" xfId="1" applyFont="1" applyFill="1" applyBorder="1" applyAlignment="1" applyProtection="1">
      <alignment horizontal="center" vertical="center"/>
      <protection hidden="1"/>
    </xf>
    <xf numFmtId="164" fontId="3" fillId="3" borderId="32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3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35" xfId="1" applyNumberFormat="1" applyFont="1" applyBorder="1" applyAlignment="1" applyProtection="1">
      <alignment horizontal="left" vertical="center" wrapText="1"/>
      <protection hidden="1"/>
    </xf>
    <xf numFmtId="166" fontId="8" fillId="0" borderId="35" xfId="1" applyNumberFormat="1" applyFont="1" applyBorder="1" applyAlignment="1" applyProtection="1">
      <alignment horizontal="left" vertical="center" wrapText="1"/>
      <protection hidden="1"/>
    </xf>
    <xf numFmtId="166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Font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3" applyNumberFormat="1" applyFont="1" applyBorder="1" applyAlignment="1" applyProtection="1">
      <alignment horizontal="left" vertical="center" wrapText="1"/>
      <protection hidden="1"/>
    </xf>
    <xf numFmtId="166" fontId="3" fillId="0" borderId="10" xfId="1" applyNumberFormat="1" applyFont="1" applyBorder="1" applyAlignment="1" applyProtection="1">
      <alignment horizontal="left" vertical="center" wrapText="1"/>
      <protection hidden="1"/>
    </xf>
    <xf numFmtId="166" fontId="3" fillId="0" borderId="9" xfId="1" applyNumberFormat="1" applyFont="1" applyBorder="1" applyAlignment="1" applyProtection="1">
      <alignment horizontal="left" vertical="center" wrapText="1"/>
      <protection hidden="1"/>
    </xf>
    <xf numFmtId="166" fontId="8" fillId="0" borderId="10" xfId="1" applyNumberFormat="1" applyFont="1" applyBorder="1" applyAlignment="1" applyProtection="1">
      <alignment horizontal="left" vertical="center" wrapText="1"/>
      <protection hidden="1"/>
    </xf>
    <xf numFmtId="166" fontId="3" fillId="0" borderId="10" xfId="0" applyNumberFormat="1" applyFont="1" applyBorder="1" applyAlignment="1" applyProtection="1">
      <alignment horizontal="left" wrapText="1"/>
      <protection hidden="1"/>
    </xf>
    <xf numFmtId="166" fontId="3" fillId="0" borderId="4" xfId="0" applyNumberFormat="1" applyFont="1" applyBorder="1" applyAlignment="1" applyProtection="1">
      <alignment horizontal="left" wrapText="1"/>
      <protection hidden="1"/>
    </xf>
    <xf numFmtId="166" fontId="3" fillId="0" borderId="23" xfId="0" applyNumberFormat="1" applyFont="1" applyBorder="1" applyAlignment="1" applyProtection="1">
      <alignment horizontal="left" wrapText="1"/>
      <protection hidden="1"/>
    </xf>
    <xf numFmtId="166" fontId="5" fillId="0" borderId="27" xfId="1" applyNumberFormat="1" applyFont="1" applyBorder="1" applyAlignment="1" applyProtection="1">
      <alignment horizontal="left" vertical="center" wrapText="1"/>
      <protection hidden="1"/>
    </xf>
    <xf numFmtId="166" fontId="5" fillId="0" borderId="28" xfId="1" applyNumberFormat="1" applyFont="1" applyBorder="1" applyAlignment="1" applyProtection="1">
      <alignment horizontal="left" vertical="center" wrapText="1"/>
      <protection hidden="1"/>
    </xf>
    <xf numFmtId="166" fontId="5" fillId="0" borderId="29" xfId="1" applyNumberFormat="1" applyFont="1" applyBorder="1" applyAlignment="1" applyProtection="1">
      <alignment horizontal="left" vertical="center" wrapText="1"/>
      <protection hidden="1"/>
    </xf>
    <xf numFmtId="166" fontId="2" fillId="0" borderId="10" xfId="1" applyNumberFormat="1" applyFont="1" applyBorder="1" applyAlignment="1" applyProtection="1">
      <alignment horizontal="left" vertical="center" wrapText="1"/>
      <protection hidden="1"/>
    </xf>
    <xf numFmtId="166" fontId="5" fillId="0" borderId="4" xfId="1" applyNumberFormat="1" applyFont="1" applyBorder="1" applyAlignment="1" applyProtection="1">
      <alignment horizontal="left" vertical="center" wrapText="1"/>
      <protection hidden="1"/>
    </xf>
    <xf numFmtId="166" fontId="5" fillId="0" borderId="23" xfId="1" applyNumberFormat="1" applyFont="1" applyBorder="1" applyAlignment="1" applyProtection="1">
      <alignment horizontal="left" vertical="center" wrapText="1"/>
      <protection hidden="1"/>
    </xf>
    <xf numFmtId="166" fontId="2" fillId="0" borderId="4" xfId="1" applyNumberFormat="1" applyFont="1" applyBorder="1" applyAlignment="1" applyProtection="1">
      <alignment horizontal="left" vertical="center" wrapText="1"/>
      <protection hidden="1"/>
    </xf>
    <xf numFmtId="166" fontId="2" fillId="0" borderId="23" xfId="1" applyNumberFormat="1" applyFont="1" applyBorder="1" applyAlignment="1" applyProtection="1">
      <alignment horizontal="left" vertical="center" wrapText="1"/>
      <protection hidden="1"/>
    </xf>
    <xf numFmtId="166" fontId="3" fillId="0" borderId="49" xfId="1" applyNumberFormat="1" applyFont="1" applyBorder="1" applyAlignment="1" applyProtection="1">
      <alignment horizontal="left" vertical="center" wrapText="1"/>
      <protection hidden="1"/>
    </xf>
    <xf numFmtId="166" fontId="3" fillId="0" borderId="50" xfId="1" applyNumberFormat="1" applyFont="1" applyBorder="1" applyAlignment="1" applyProtection="1">
      <alignment horizontal="left" vertical="center" wrapText="1"/>
      <protection hidden="1"/>
    </xf>
    <xf numFmtId="166" fontId="3" fillId="0" borderId="51" xfId="1" applyNumberFormat="1" applyFont="1" applyBorder="1" applyAlignment="1" applyProtection="1">
      <alignment horizontal="left" vertical="center" wrapText="1"/>
      <protection hidden="1"/>
    </xf>
    <xf numFmtId="0" fontId="9" fillId="0" borderId="40" xfId="1" applyFont="1" applyBorder="1" applyAlignment="1" applyProtection="1">
      <alignment horizontal="center" vertical="center"/>
      <protection hidden="1"/>
    </xf>
    <xf numFmtId="0" fontId="9" fillId="0" borderId="41" xfId="1" applyFont="1" applyBorder="1" applyAlignment="1" applyProtection="1">
      <alignment horizontal="center" vertical="center"/>
      <protection hidden="1"/>
    </xf>
    <xf numFmtId="0" fontId="9" fillId="0" borderId="52" xfId="1" applyFont="1" applyBorder="1" applyAlignment="1" applyProtection="1">
      <alignment horizontal="center" vertical="center"/>
      <protection hidden="1"/>
    </xf>
    <xf numFmtId="166" fontId="8" fillId="0" borderId="10" xfId="1" applyNumberFormat="1" applyFont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Border="1" applyAlignment="1" applyProtection="1">
      <alignment horizontal="center" vertical="center" wrapText="1"/>
      <protection hidden="1"/>
    </xf>
    <xf numFmtId="166" fontId="8" fillId="0" borderId="23" xfId="1" applyNumberFormat="1" applyFont="1" applyBorder="1" applyAlignment="1" applyProtection="1">
      <alignment horizontal="center" vertical="center" wrapText="1"/>
      <protection hidden="1"/>
    </xf>
    <xf numFmtId="166" fontId="15" fillId="0" borderId="10" xfId="46" applyNumberFormat="1" applyFont="1" applyBorder="1" applyAlignment="1" applyProtection="1">
      <alignment horizontal="left" wrapText="1"/>
      <protection hidden="1"/>
    </xf>
    <xf numFmtId="166" fontId="15" fillId="0" borderId="4" xfId="46" applyNumberFormat="1" applyFont="1" applyBorder="1" applyAlignment="1" applyProtection="1">
      <alignment horizontal="left" wrapText="1"/>
      <protection hidden="1"/>
    </xf>
    <xf numFmtId="166" fontId="15" fillId="0" borderId="23" xfId="46" applyNumberFormat="1" applyFont="1" applyBorder="1" applyAlignment="1" applyProtection="1">
      <alignment horizontal="left" wrapText="1"/>
      <protection hidden="1"/>
    </xf>
    <xf numFmtId="166" fontId="15" fillId="0" borderId="10" xfId="0" applyNumberFormat="1" applyFont="1" applyBorder="1" applyAlignment="1" applyProtection="1">
      <alignment horizontal="center" vertical="center" wrapText="1"/>
      <protection hidden="1"/>
    </xf>
    <xf numFmtId="166" fontId="15" fillId="0" borderId="4" xfId="0" applyNumberFormat="1" applyFont="1" applyBorder="1" applyAlignment="1" applyProtection="1">
      <alignment horizontal="center" vertical="center" wrapText="1"/>
      <protection hidden="1"/>
    </xf>
    <xf numFmtId="166" fontId="15" fillId="0" borderId="23" xfId="0" applyNumberFormat="1" applyFont="1" applyBorder="1" applyAlignment="1" applyProtection="1">
      <alignment horizontal="center" vertical="center" wrapText="1"/>
      <protection hidden="1"/>
    </xf>
    <xf numFmtId="166" fontId="3" fillId="0" borderId="10" xfId="1" applyNumberFormat="1" applyFont="1" applyBorder="1" applyAlignment="1" applyProtection="1">
      <alignment horizontal="center" vertical="center" wrapText="1"/>
      <protection hidden="1"/>
    </xf>
    <xf numFmtId="166" fontId="3" fillId="0" borderId="4" xfId="1" applyNumberFormat="1" applyFont="1" applyBorder="1" applyAlignment="1" applyProtection="1">
      <alignment horizontal="center" vertical="center" wrapText="1"/>
      <protection hidden="1"/>
    </xf>
    <xf numFmtId="166" fontId="3" fillId="0" borderId="23" xfId="1" applyNumberFormat="1" applyFont="1" applyBorder="1" applyAlignment="1" applyProtection="1">
      <alignment horizontal="center" vertical="center" wrapText="1"/>
      <protection hidden="1"/>
    </xf>
    <xf numFmtId="166" fontId="3" fillId="0" borderId="10" xfId="3" applyNumberFormat="1" applyFont="1" applyBorder="1" applyAlignment="1" applyProtection="1">
      <alignment horizontal="left" vertical="center" wrapText="1"/>
      <protection hidden="1"/>
    </xf>
    <xf numFmtId="166" fontId="3" fillId="0" borderId="4" xfId="3" applyNumberFormat="1" applyFont="1" applyBorder="1" applyAlignment="1" applyProtection="1">
      <alignment horizontal="left" vertical="center" wrapText="1"/>
      <protection hidden="1"/>
    </xf>
    <xf numFmtId="166" fontId="3" fillId="0" borderId="23" xfId="3" applyNumberFormat="1" applyFont="1" applyBorder="1" applyAlignment="1" applyProtection="1">
      <alignment horizontal="left" vertical="center" wrapText="1"/>
      <protection hidden="1"/>
    </xf>
    <xf numFmtId="166" fontId="2" fillId="0" borderId="24" xfId="1" applyNumberFormat="1" applyFont="1" applyBorder="1" applyAlignment="1" applyProtection="1">
      <alignment horizontal="left" vertical="center" wrapText="1"/>
      <protection hidden="1"/>
    </xf>
    <xf numFmtId="166" fontId="5" fillId="0" borderId="13" xfId="1" applyNumberFormat="1" applyFont="1" applyBorder="1" applyAlignment="1" applyProtection="1">
      <alignment horizontal="left" vertical="center" wrapText="1"/>
      <protection hidden="1"/>
    </xf>
    <xf numFmtId="166" fontId="5" fillId="0" borderId="25" xfId="1" applyNumberFormat="1" applyFont="1" applyBorder="1" applyAlignment="1" applyProtection="1">
      <alignment horizontal="left" vertical="center" wrapText="1"/>
      <protection hidden="1"/>
    </xf>
  </cellXfs>
  <cellStyles count="47">
    <cellStyle name="Normal" xfId="5" xr:uid="{00000000-0005-0000-0000-000000000000}"/>
    <cellStyle name="Данные (только для чтения)" xfId="6" xr:uid="{00000000-0005-0000-0000-000001000000}"/>
    <cellStyle name="Денежный 2" xfId="40" xr:uid="{00000000-0005-0000-0000-000002000000}"/>
    <cellStyle name="Обычный" xfId="0" builtinId="0"/>
    <cellStyle name="Обычный 10" xfId="4" xr:uid="{00000000-0005-0000-0000-000004000000}"/>
    <cellStyle name="Обычный 11" xfId="7" xr:uid="{00000000-0005-0000-0000-000005000000}"/>
    <cellStyle name="Обычный 12" xfId="8" xr:uid="{00000000-0005-0000-0000-000006000000}"/>
    <cellStyle name="Обычный 13" xfId="9" xr:uid="{00000000-0005-0000-0000-000007000000}"/>
    <cellStyle name="Обычный 14" xfId="10" xr:uid="{00000000-0005-0000-0000-000008000000}"/>
    <cellStyle name="Обычный 15" xfId="11" xr:uid="{00000000-0005-0000-0000-000009000000}"/>
    <cellStyle name="Обычный 16" xfId="12" xr:uid="{00000000-0005-0000-0000-00000A000000}"/>
    <cellStyle name="Обычный 17" xfId="13" xr:uid="{00000000-0005-0000-0000-00000B000000}"/>
    <cellStyle name="Обычный 18" xfId="14" xr:uid="{00000000-0005-0000-0000-00000C000000}"/>
    <cellStyle name="Обычный 19" xfId="15" xr:uid="{00000000-0005-0000-0000-00000D000000}"/>
    <cellStyle name="Обычный 2" xfId="1" xr:uid="{00000000-0005-0000-0000-00000E000000}"/>
    <cellStyle name="Обычный 2 2" xfId="3" xr:uid="{00000000-0005-0000-0000-00000F000000}"/>
    <cellStyle name="Обычный 2 2 2" xfId="16" xr:uid="{00000000-0005-0000-0000-000010000000}"/>
    <cellStyle name="Обычный 20" xfId="17" xr:uid="{00000000-0005-0000-0000-000011000000}"/>
    <cellStyle name="Обычный 21" xfId="18" xr:uid="{00000000-0005-0000-0000-000012000000}"/>
    <cellStyle name="Обычный 22" xfId="19" xr:uid="{00000000-0005-0000-0000-000013000000}"/>
    <cellStyle name="Обычный 23" xfId="20" xr:uid="{00000000-0005-0000-0000-000014000000}"/>
    <cellStyle name="Обычный 24" xfId="21" xr:uid="{00000000-0005-0000-0000-000015000000}"/>
    <cellStyle name="Обычный 25" xfId="22" xr:uid="{00000000-0005-0000-0000-000016000000}"/>
    <cellStyle name="Обычный 26" xfId="23" xr:uid="{00000000-0005-0000-0000-000017000000}"/>
    <cellStyle name="Обычный 27" xfId="24" xr:uid="{00000000-0005-0000-0000-000018000000}"/>
    <cellStyle name="Обычный 28" xfId="25" xr:uid="{00000000-0005-0000-0000-000019000000}"/>
    <cellStyle name="Обычный 29" xfId="26" xr:uid="{00000000-0005-0000-0000-00001A000000}"/>
    <cellStyle name="Обычный 3" xfId="27" xr:uid="{00000000-0005-0000-0000-00001B000000}"/>
    <cellStyle name="Обычный 3 2" xfId="28" xr:uid="{00000000-0005-0000-0000-00001C000000}"/>
    <cellStyle name="Обычный 3 3" xfId="41" xr:uid="{00000000-0005-0000-0000-00001D000000}"/>
    <cellStyle name="Обычный 3 3 2" xfId="43" xr:uid="{00000000-0005-0000-0000-00001E000000}"/>
    <cellStyle name="Обычный 3 3 3" xfId="44" xr:uid="{00000000-0005-0000-0000-00001F000000}"/>
    <cellStyle name="Обычный 3 3 4" xfId="45" xr:uid="{00000000-0005-0000-0000-000020000000}"/>
    <cellStyle name="Обычный 30" xfId="29" xr:uid="{00000000-0005-0000-0000-000021000000}"/>
    <cellStyle name="Обычный 31" xfId="46" xr:uid="{00000000-0005-0000-0000-000022000000}"/>
    <cellStyle name="Обычный 4" xfId="2" xr:uid="{00000000-0005-0000-0000-000023000000}"/>
    <cellStyle name="Обычный 4 2" xfId="31" xr:uid="{00000000-0005-0000-0000-000024000000}"/>
    <cellStyle name="Обычный 4 3" xfId="30" xr:uid="{00000000-0005-0000-0000-000025000000}"/>
    <cellStyle name="Обычный 5" xfId="32" xr:uid="{00000000-0005-0000-0000-000026000000}"/>
    <cellStyle name="Обычный 5 2" xfId="42" xr:uid="{00000000-0005-0000-0000-000027000000}"/>
    <cellStyle name="Обычный 6" xfId="33" xr:uid="{00000000-0005-0000-0000-000028000000}"/>
    <cellStyle name="Обычный 7" xfId="34" xr:uid="{00000000-0005-0000-0000-000029000000}"/>
    <cellStyle name="Обычный 8" xfId="35" xr:uid="{00000000-0005-0000-0000-00002A000000}"/>
    <cellStyle name="Обычный 9" xfId="36" xr:uid="{00000000-0005-0000-0000-00002B000000}"/>
    <cellStyle name="Процентный 2" xfId="37" xr:uid="{00000000-0005-0000-0000-00002C000000}"/>
    <cellStyle name="Процентный 3" xfId="39" xr:uid="{00000000-0005-0000-0000-00002D000000}"/>
    <cellStyle name="Финансовый 2" xfId="38" xr:uid="{00000000-0005-0000-0000-00002E000000}"/>
  </cellStyles>
  <dxfs count="0"/>
  <tableStyles count="0" defaultTableStyle="TableStyleMedium2" defaultPivotStyle="PivotStyleLight16"/>
  <colors>
    <mruColors>
      <color rgb="FFFFCCFF"/>
      <color rgb="FFFF9999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18"/>
  <sheetViews>
    <sheetView showGridLines="0" topLeftCell="D1" zoomScaleNormal="100" zoomScaleSheetLayoutView="100" workbookViewId="0">
      <selection activeCell="V1" sqref="V1"/>
    </sheetView>
  </sheetViews>
  <sheetFormatPr defaultColWidth="9.109375" defaultRowHeight="13.2" outlineLevelRow="3" outlineLevelCol="1" x14ac:dyDescent="0.25"/>
  <cols>
    <col min="1" max="1" width="2.88671875" style="32" hidden="1" customWidth="1"/>
    <col min="2" max="2" width="1.5546875" style="32" hidden="1" customWidth="1"/>
    <col min="3" max="3" width="6.109375" style="32" hidden="1" customWidth="1"/>
    <col min="4" max="4" width="0.109375" style="32" customWidth="1"/>
    <col min="5" max="7" width="2.6640625" style="32" customWidth="1"/>
    <col min="8" max="8" width="50.88671875" style="32" customWidth="1"/>
    <col min="9" max="9" width="21.5546875" style="32" hidden="1" customWidth="1"/>
    <col min="10" max="10" width="6.109375" style="32" customWidth="1"/>
    <col min="11" max="12" width="4.88671875" style="32" customWidth="1"/>
    <col min="13" max="15" width="13.44140625" style="32" hidden="1" customWidth="1" outlineLevel="1"/>
    <col min="16" max="16" width="13.44140625" style="32" hidden="1" customWidth="1" outlineLevel="1" collapsed="1"/>
    <col min="17" max="18" width="13.44140625" style="32" hidden="1" customWidth="1" outlineLevel="1"/>
    <col min="19" max="19" width="13.44140625" style="32" customWidth="1" collapsed="1"/>
    <col min="20" max="21" width="13.44140625" style="32" customWidth="1"/>
    <col min="22" max="22" width="98.5546875" style="32" customWidth="1"/>
    <col min="23" max="23" width="1" style="32" customWidth="1"/>
    <col min="24" max="24" width="27.5546875" style="32" hidden="1" customWidth="1"/>
    <col min="25" max="249" width="9.109375" style="32" customWidth="1"/>
    <col min="250" max="16384" width="9.109375" style="32"/>
  </cols>
  <sheetData>
    <row r="1" spans="1:23" ht="13.5" customHeight="1" x14ac:dyDescent="0.3">
      <c r="A1" s="1"/>
      <c r="B1" s="1"/>
      <c r="C1" s="1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2" t="s">
        <v>455</v>
      </c>
      <c r="W1" s="1"/>
    </row>
    <row r="2" spans="1:23" ht="13.5" customHeight="1" x14ac:dyDescent="0.3">
      <c r="A2" s="1"/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92" t="s">
        <v>177</v>
      </c>
      <c r="W2" s="1"/>
    </row>
    <row r="3" spans="1:23" ht="27.75" customHeight="1" x14ac:dyDescent="0.25">
      <c r="A3" s="1"/>
      <c r="B3" s="1"/>
      <c r="C3" s="1"/>
      <c r="D3" s="1" t="s">
        <v>357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7.5" customHeight="1" thickBot="1" x14ac:dyDescent="0.3">
      <c r="A5" s="33"/>
      <c r="B5" s="1"/>
      <c r="D5" s="166" t="s">
        <v>337</v>
      </c>
      <c r="E5" s="167"/>
      <c r="F5" s="167"/>
      <c r="G5" s="167"/>
      <c r="H5" s="138"/>
      <c r="I5" s="203" t="s">
        <v>173</v>
      </c>
      <c r="J5" s="174" t="s">
        <v>174</v>
      </c>
      <c r="K5" s="175"/>
      <c r="L5" s="176"/>
      <c r="M5" s="138" t="s">
        <v>368</v>
      </c>
      <c r="N5" s="141" t="s">
        <v>175</v>
      </c>
      <c r="O5" s="144" t="s">
        <v>292</v>
      </c>
      <c r="P5" s="138" t="s">
        <v>374</v>
      </c>
      <c r="Q5" s="141" t="s">
        <v>175</v>
      </c>
      <c r="R5" s="144" t="s">
        <v>292</v>
      </c>
      <c r="S5" s="138" t="s">
        <v>387</v>
      </c>
      <c r="T5" s="141" t="s">
        <v>175</v>
      </c>
      <c r="U5" s="144" t="s">
        <v>292</v>
      </c>
      <c r="V5" s="141" t="s">
        <v>176</v>
      </c>
      <c r="W5" s="1"/>
    </row>
    <row r="6" spans="1:23" ht="11.25" customHeight="1" thickBot="1" x14ac:dyDescent="0.3">
      <c r="A6" s="34"/>
      <c r="B6" s="34"/>
      <c r="C6" s="30"/>
      <c r="D6" s="168"/>
      <c r="E6" s="169"/>
      <c r="F6" s="169"/>
      <c r="G6" s="169"/>
      <c r="H6" s="170"/>
      <c r="I6" s="203"/>
      <c r="J6" s="177"/>
      <c r="K6" s="178"/>
      <c r="L6" s="139"/>
      <c r="M6" s="139"/>
      <c r="N6" s="142"/>
      <c r="O6" s="145"/>
      <c r="P6" s="139"/>
      <c r="Q6" s="142"/>
      <c r="R6" s="145"/>
      <c r="S6" s="139"/>
      <c r="T6" s="142"/>
      <c r="U6" s="145"/>
      <c r="V6" s="142"/>
      <c r="W6" s="1"/>
    </row>
    <row r="7" spans="1:23" ht="53.25" customHeight="1" thickBot="1" x14ac:dyDescent="0.3">
      <c r="A7" s="34"/>
      <c r="B7" s="34"/>
      <c r="C7" s="31"/>
      <c r="D7" s="171"/>
      <c r="E7" s="172"/>
      <c r="F7" s="172"/>
      <c r="G7" s="172"/>
      <c r="H7" s="173"/>
      <c r="I7" s="203"/>
      <c r="J7" s="179"/>
      <c r="K7" s="180"/>
      <c r="L7" s="140"/>
      <c r="M7" s="140"/>
      <c r="N7" s="143"/>
      <c r="O7" s="146"/>
      <c r="P7" s="140"/>
      <c r="Q7" s="143"/>
      <c r="R7" s="146"/>
      <c r="S7" s="140"/>
      <c r="T7" s="143"/>
      <c r="U7" s="146"/>
      <c r="V7" s="143"/>
      <c r="W7" s="1"/>
    </row>
    <row r="8" spans="1:23" ht="12.75" hidden="1" customHeight="1" x14ac:dyDescent="0.25">
      <c r="A8" s="34"/>
      <c r="B8" s="34"/>
      <c r="C8" s="35" t="s">
        <v>23</v>
      </c>
      <c r="D8" s="76"/>
      <c r="E8" s="36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</row>
    <row r="9" spans="1:23" ht="32.25" customHeight="1" x14ac:dyDescent="0.25">
      <c r="A9" s="37"/>
      <c r="B9" s="38"/>
      <c r="C9" s="39"/>
      <c r="D9" s="200" t="s">
        <v>309</v>
      </c>
      <c r="E9" s="201"/>
      <c r="F9" s="201"/>
      <c r="G9" s="201"/>
      <c r="H9" s="202"/>
      <c r="I9" s="49" t="s">
        <v>172</v>
      </c>
      <c r="J9" s="50" t="s">
        <v>13</v>
      </c>
      <c r="K9" s="50" t="s">
        <v>4</v>
      </c>
      <c r="L9" s="50" t="s">
        <v>4</v>
      </c>
      <c r="M9" s="51">
        <f>M10+M12+M14</f>
        <v>37492.9</v>
      </c>
      <c r="N9" s="51">
        <f>N10+N12+N14</f>
        <v>0</v>
      </c>
      <c r="O9" s="51">
        <f>O10+O12+O14</f>
        <v>37492.9</v>
      </c>
      <c r="P9" s="51">
        <v>37492.9</v>
      </c>
      <c r="Q9" s="51">
        <f>Q10+Q12+Q14</f>
        <v>1100.8</v>
      </c>
      <c r="R9" s="91">
        <f>SUM(P9:Q9)</f>
        <v>38593.700000000004</v>
      </c>
      <c r="S9" s="91">
        <v>38624.700000000004</v>
      </c>
      <c r="T9" s="91">
        <f>SUM(T10+T12+T14)</f>
        <v>3366.2999999999997</v>
      </c>
      <c r="U9" s="91">
        <f>SUM(S9:T9)</f>
        <v>41991.000000000007</v>
      </c>
      <c r="V9" s="52"/>
      <c r="W9" s="1"/>
    </row>
    <row r="10" spans="1:23" ht="33.75" customHeight="1" x14ac:dyDescent="0.25">
      <c r="A10" s="41"/>
      <c r="B10" s="34"/>
      <c r="C10" s="42"/>
      <c r="D10" s="153" t="s">
        <v>336</v>
      </c>
      <c r="E10" s="154"/>
      <c r="F10" s="154"/>
      <c r="G10" s="154"/>
      <c r="H10" s="154"/>
      <c r="I10" s="65" t="s">
        <v>171</v>
      </c>
      <c r="J10" s="66" t="s">
        <v>13</v>
      </c>
      <c r="K10" s="66" t="s">
        <v>23</v>
      </c>
      <c r="L10" s="66" t="s">
        <v>4</v>
      </c>
      <c r="M10" s="67">
        <f>SUM(M11)</f>
        <v>1500</v>
      </c>
      <c r="N10" s="67">
        <f>SUM(N11)</f>
        <v>0</v>
      </c>
      <c r="O10" s="67">
        <f>SUM(O11)</f>
        <v>1500</v>
      </c>
      <c r="P10" s="67">
        <v>1500</v>
      </c>
      <c r="Q10" s="67">
        <f>SUM(Q11)</f>
        <v>0</v>
      </c>
      <c r="R10" s="67">
        <f>SUM(R11)</f>
        <v>1500</v>
      </c>
      <c r="S10" s="67">
        <v>1632.8</v>
      </c>
      <c r="T10" s="67">
        <f>SUM(T11)</f>
        <v>0</v>
      </c>
      <c r="U10" s="67">
        <f>SUM(U11)</f>
        <v>1632.8</v>
      </c>
      <c r="V10" s="68"/>
      <c r="W10" s="1"/>
    </row>
    <row r="11" spans="1:23" ht="32.25" hidden="1" customHeight="1" outlineLevel="1" x14ac:dyDescent="0.25">
      <c r="A11" s="41"/>
      <c r="B11" s="34"/>
      <c r="C11" s="42"/>
      <c r="D11" s="12"/>
      <c r="E11" s="156" t="s">
        <v>182</v>
      </c>
      <c r="F11" s="155"/>
      <c r="G11" s="155"/>
      <c r="H11" s="155"/>
      <c r="I11" s="13" t="s">
        <v>171</v>
      </c>
      <c r="J11" s="5" t="s">
        <v>13</v>
      </c>
      <c r="K11" s="5" t="s">
        <v>23</v>
      </c>
      <c r="L11" s="5" t="s">
        <v>13</v>
      </c>
      <c r="M11" s="17">
        <v>1500</v>
      </c>
      <c r="N11" s="17"/>
      <c r="O11" s="17">
        <f>SUM(M11:N11)</f>
        <v>1500</v>
      </c>
      <c r="P11" s="17">
        <v>1500</v>
      </c>
      <c r="Q11" s="17"/>
      <c r="R11" s="17">
        <f>SUM(P11:Q11)</f>
        <v>1500</v>
      </c>
      <c r="S11" s="17">
        <v>1632.8</v>
      </c>
      <c r="T11" s="17"/>
      <c r="U11" s="17">
        <f>SUM(S11:T11)</f>
        <v>1632.8</v>
      </c>
      <c r="V11" s="8"/>
      <c r="W11" s="1"/>
    </row>
    <row r="12" spans="1:23" ht="29.25" customHeight="1" collapsed="1" x14ac:dyDescent="0.25">
      <c r="A12" s="41"/>
      <c r="B12" s="34"/>
      <c r="C12" s="42"/>
      <c r="D12" s="153" t="s">
        <v>318</v>
      </c>
      <c r="E12" s="154"/>
      <c r="F12" s="154"/>
      <c r="G12" s="154"/>
      <c r="H12" s="154"/>
      <c r="I12" s="65" t="s">
        <v>170</v>
      </c>
      <c r="J12" s="66" t="s">
        <v>13</v>
      </c>
      <c r="K12" s="66" t="s">
        <v>18</v>
      </c>
      <c r="L12" s="66" t="s">
        <v>4</v>
      </c>
      <c r="M12" s="67">
        <f t="shared" ref="M12:R12" si="0">M13</f>
        <v>300</v>
      </c>
      <c r="N12" s="67">
        <f t="shared" si="0"/>
        <v>0</v>
      </c>
      <c r="O12" s="67">
        <f t="shared" si="0"/>
        <v>300</v>
      </c>
      <c r="P12" s="67">
        <v>300</v>
      </c>
      <c r="Q12" s="67">
        <f t="shared" si="0"/>
        <v>0</v>
      </c>
      <c r="R12" s="67">
        <f t="shared" si="0"/>
        <v>300</v>
      </c>
      <c r="S12" s="67">
        <v>167.2</v>
      </c>
      <c r="T12" s="67">
        <f>SUM(T13)</f>
        <v>0</v>
      </c>
      <c r="U12" s="67">
        <f>U13</f>
        <v>167.2</v>
      </c>
      <c r="V12" s="68"/>
      <c r="W12" s="1"/>
    </row>
    <row r="13" spans="1:23" ht="38.25" hidden="1" customHeight="1" outlineLevel="1" x14ac:dyDescent="0.25">
      <c r="A13" s="41"/>
      <c r="B13" s="34"/>
      <c r="C13" s="42"/>
      <c r="D13" s="12"/>
      <c r="E13" s="155" t="s">
        <v>349</v>
      </c>
      <c r="F13" s="155"/>
      <c r="G13" s="155"/>
      <c r="H13" s="155"/>
      <c r="I13" s="13" t="s">
        <v>170</v>
      </c>
      <c r="J13" s="5" t="s">
        <v>13</v>
      </c>
      <c r="K13" s="5" t="s">
        <v>18</v>
      </c>
      <c r="L13" s="5" t="s">
        <v>13</v>
      </c>
      <c r="M13" s="17">
        <v>300</v>
      </c>
      <c r="N13" s="17"/>
      <c r="O13" s="17">
        <f>SUM(M13:N13)</f>
        <v>300</v>
      </c>
      <c r="P13" s="17">
        <v>300</v>
      </c>
      <c r="Q13" s="17"/>
      <c r="R13" s="17">
        <f>SUM(P13:Q13)</f>
        <v>300</v>
      </c>
      <c r="S13" s="17">
        <v>167.2</v>
      </c>
      <c r="T13" s="17"/>
      <c r="U13" s="17">
        <f>SUM(S13:T13)</f>
        <v>167.2</v>
      </c>
      <c r="V13" s="8"/>
      <c r="W13" s="1"/>
    </row>
    <row r="14" spans="1:23" ht="63.75" customHeight="1" collapsed="1" x14ac:dyDescent="0.25">
      <c r="A14" s="41"/>
      <c r="B14" s="34"/>
      <c r="C14" s="42"/>
      <c r="D14" s="157" t="s">
        <v>183</v>
      </c>
      <c r="E14" s="154"/>
      <c r="F14" s="154"/>
      <c r="G14" s="154"/>
      <c r="H14" s="154"/>
      <c r="I14" s="65" t="s">
        <v>169</v>
      </c>
      <c r="J14" s="66" t="s">
        <v>13</v>
      </c>
      <c r="K14" s="66" t="s">
        <v>27</v>
      </c>
      <c r="L14" s="66" t="s">
        <v>4</v>
      </c>
      <c r="M14" s="67">
        <f>M15+M16</f>
        <v>35692.9</v>
      </c>
      <c r="N14" s="67">
        <f>N15+N16</f>
        <v>0</v>
      </c>
      <c r="O14" s="67">
        <f>O15+O16</f>
        <v>35692.9</v>
      </c>
      <c r="P14" s="67">
        <v>35692.9</v>
      </c>
      <c r="Q14" s="67">
        <f>Q15+Q16</f>
        <v>1100.8</v>
      </c>
      <c r="R14" s="67">
        <f>R15+R16</f>
        <v>36793.700000000004</v>
      </c>
      <c r="S14" s="67">
        <v>36824.700000000004</v>
      </c>
      <c r="T14" s="67">
        <f>SUM(T15+T16)</f>
        <v>3366.2999999999997</v>
      </c>
      <c r="U14" s="67">
        <f>U15+U16</f>
        <v>40191.000000000007</v>
      </c>
      <c r="V14" s="68" t="s">
        <v>431</v>
      </c>
      <c r="W14" s="1"/>
    </row>
    <row r="15" spans="1:23" ht="64.5" hidden="1" customHeight="1" outlineLevel="1" x14ac:dyDescent="0.25">
      <c r="A15" s="41"/>
      <c r="B15" s="34"/>
      <c r="C15" s="42"/>
      <c r="D15" s="12"/>
      <c r="E15" s="156" t="s">
        <v>184</v>
      </c>
      <c r="F15" s="155"/>
      <c r="G15" s="155"/>
      <c r="H15" s="155"/>
      <c r="I15" s="13" t="s">
        <v>168</v>
      </c>
      <c r="J15" s="5" t="s">
        <v>13</v>
      </c>
      <c r="K15" s="5" t="s">
        <v>27</v>
      </c>
      <c r="L15" s="5" t="s">
        <v>13</v>
      </c>
      <c r="M15" s="17">
        <v>35392.9</v>
      </c>
      <c r="N15" s="17"/>
      <c r="O15" s="17">
        <f t="shared" ref="O15:O22" si="1">SUM(M15:N15)</f>
        <v>35392.9</v>
      </c>
      <c r="P15" s="17">
        <v>35392.9</v>
      </c>
      <c r="Q15" s="17">
        <v>1100.8</v>
      </c>
      <c r="R15" s="17">
        <f t="shared" ref="R15:R22" si="2">SUM(P15:Q15)</f>
        <v>36493.700000000004</v>
      </c>
      <c r="S15" s="17">
        <v>36524.700000000004</v>
      </c>
      <c r="T15" s="17">
        <f>1268.1+2098.2</f>
        <v>3366.2999999999997</v>
      </c>
      <c r="U15" s="17">
        <f t="shared" ref="U15:U22" si="3">SUM(S15:T15)</f>
        <v>39891.000000000007</v>
      </c>
      <c r="V15" s="8" t="s">
        <v>418</v>
      </c>
      <c r="W15" s="1"/>
    </row>
    <row r="16" spans="1:23" ht="40.5" hidden="1" customHeight="1" outlineLevel="1" x14ac:dyDescent="0.25">
      <c r="A16" s="41"/>
      <c r="B16" s="34"/>
      <c r="C16" s="42"/>
      <c r="D16" s="12"/>
      <c r="E16" s="156" t="s">
        <v>185</v>
      </c>
      <c r="F16" s="155"/>
      <c r="G16" s="155"/>
      <c r="H16" s="155"/>
      <c r="I16" s="13" t="s">
        <v>167</v>
      </c>
      <c r="J16" s="5" t="s">
        <v>13</v>
      </c>
      <c r="K16" s="5" t="s">
        <v>27</v>
      </c>
      <c r="L16" s="5" t="s">
        <v>11</v>
      </c>
      <c r="M16" s="17">
        <v>300</v>
      </c>
      <c r="N16" s="17"/>
      <c r="O16" s="17">
        <f t="shared" si="1"/>
        <v>300</v>
      </c>
      <c r="P16" s="17">
        <v>300</v>
      </c>
      <c r="Q16" s="17"/>
      <c r="R16" s="17">
        <f t="shared" si="2"/>
        <v>300</v>
      </c>
      <c r="S16" s="17">
        <v>300</v>
      </c>
      <c r="T16" s="17"/>
      <c r="U16" s="17">
        <f t="shared" si="3"/>
        <v>300</v>
      </c>
      <c r="V16" s="8"/>
      <c r="W16" s="1"/>
    </row>
    <row r="17" spans="1:23" ht="43.5" customHeight="1" collapsed="1" x14ac:dyDescent="0.25">
      <c r="A17" s="41"/>
      <c r="B17" s="1"/>
      <c r="D17" s="162" t="s">
        <v>310</v>
      </c>
      <c r="E17" s="163"/>
      <c r="F17" s="163"/>
      <c r="G17" s="163"/>
      <c r="H17" s="164"/>
      <c r="I17" s="53" t="s">
        <v>166</v>
      </c>
      <c r="J17" s="54" t="s">
        <v>11</v>
      </c>
      <c r="K17" s="54" t="s">
        <v>4</v>
      </c>
      <c r="L17" s="54" t="s">
        <v>4</v>
      </c>
      <c r="M17" s="55">
        <f>M18+M19+M20+M21</f>
        <v>2339.1999999999998</v>
      </c>
      <c r="N17" s="56">
        <f>SUM(N18+N19+N20+N21)</f>
        <v>0</v>
      </c>
      <c r="O17" s="55">
        <f t="shared" si="1"/>
        <v>2339.1999999999998</v>
      </c>
      <c r="P17" s="55">
        <f>P18+P19+P20+P21</f>
        <v>2339.1999999999998</v>
      </c>
      <c r="Q17" s="56">
        <f>SUM(Q18+Q19+Q20+Q21)</f>
        <v>24.3</v>
      </c>
      <c r="R17" s="55">
        <f t="shared" si="2"/>
        <v>2363.5</v>
      </c>
      <c r="S17" s="55">
        <v>2363.5</v>
      </c>
      <c r="T17" s="55">
        <f>SUM(T18+T19+T20+T21)</f>
        <v>-100</v>
      </c>
      <c r="U17" s="55">
        <f t="shared" si="3"/>
        <v>2263.5</v>
      </c>
      <c r="V17" s="57" t="s">
        <v>392</v>
      </c>
      <c r="W17" s="1"/>
    </row>
    <row r="18" spans="1:23" ht="39.75" hidden="1" customHeight="1" outlineLevel="1" x14ac:dyDescent="0.25">
      <c r="A18" s="41"/>
      <c r="B18" s="34"/>
      <c r="C18" s="42"/>
      <c r="D18" s="12"/>
      <c r="E18" s="155" t="s">
        <v>319</v>
      </c>
      <c r="F18" s="155"/>
      <c r="G18" s="155"/>
      <c r="H18" s="155"/>
      <c r="I18" s="13" t="s">
        <v>165</v>
      </c>
      <c r="J18" s="5" t="s">
        <v>11</v>
      </c>
      <c r="K18" s="5" t="s">
        <v>2</v>
      </c>
      <c r="L18" s="5" t="s">
        <v>13</v>
      </c>
      <c r="M18" s="17">
        <v>1929.2</v>
      </c>
      <c r="N18" s="17"/>
      <c r="O18" s="17">
        <f t="shared" si="1"/>
        <v>1929.2</v>
      </c>
      <c r="P18" s="17">
        <v>1929.2</v>
      </c>
      <c r="Q18" s="17"/>
      <c r="R18" s="17">
        <f t="shared" si="2"/>
        <v>1929.2</v>
      </c>
      <c r="S18" s="17">
        <v>1925.3</v>
      </c>
      <c r="T18" s="17">
        <v>-100</v>
      </c>
      <c r="U18" s="17">
        <f t="shared" si="3"/>
        <v>1825.3</v>
      </c>
      <c r="V18" s="8" t="s">
        <v>392</v>
      </c>
      <c r="W18" s="1"/>
    </row>
    <row r="19" spans="1:23" ht="32.25" hidden="1" customHeight="1" outlineLevel="1" x14ac:dyDescent="0.25">
      <c r="A19" s="41"/>
      <c r="B19" s="34"/>
      <c r="C19" s="42"/>
      <c r="D19" s="12"/>
      <c r="E19" s="156" t="s">
        <v>186</v>
      </c>
      <c r="F19" s="155"/>
      <c r="G19" s="155"/>
      <c r="H19" s="155"/>
      <c r="I19" s="13" t="s">
        <v>164</v>
      </c>
      <c r="J19" s="5" t="s">
        <v>11</v>
      </c>
      <c r="K19" s="5" t="s">
        <v>2</v>
      </c>
      <c r="L19" s="5" t="s">
        <v>11</v>
      </c>
      <c r="M19" s="17">
        <v>0</v>
      </c>
      <c r="N19" s="17"/>
      <c r="O19" s="17">
        <f t="shared" si="1"/>
        <v>0</v>
      </c>
      <c r="P19" s="17">
        <v>0</v>
      </c>
      <c r="Q19" s="17"/>
      <c r="R19" s="17">
        <f t="shared" si="2"/>
        <v>0</v>
      </c>
      <c r="S19" s="17">
        <v>0</v>
      </c>
      <c r="T19" s="17"/>
      <c r="U19" s="17">
        <f t="shared" si="3"/>
        <v>0</v>
      </c>
      <c r="V19" s="8"/>
      <c r="W19" s="1"/>
    </row>
    <row r="20" spans="1:23" ht="39" hidden="1" customHeight="1" outlineLevel="1" x14ac:dyDescent="0.25">
      <c r="A20" s="41"/>
      <c r="B20" s="34"/>
      <c r="C20" s="42"/>
      <c r="D20" s="12"/>
      <c r="E20" s="156" t="s">
        <v>187</v>
      </c>
      <c r="F20" s="155"/>
      <c r="G20" s="155"/>
      <c r="H20" s="155"/>
      <c r="I20" s="13" t="s">
        <v>163</v>
      </c>
      <c r="J20" s="5" t="s">
        <v>11</v>
      </c>
      <c r="K20" s="5" t="s">
        <v>2</v>
      </c>
      <c r="L20" s="5" t="s">
        <v>26</v>
      </c>
      <c r="M20" s="17">
        <v>400</v>
      </c>
      <c r="N20" s="17"/>
      <c r="O20" s="17">
        <f t="shared" si="1"/>
        <v>400</v>
      </c>
      <c r="P20" s="17">
        <v>400</v>
      </c>
      <c r="Q20" s="17">
        <v>24.3</v>
      </c>
      <c r="R20" s="17">
        <f t="shared" si="2"/>
        <v>424.3</v>
      </c>
      <c r="S20" s="17">
        <v>428.2</v>
      </c>
      <c r="T20" s="17"/>
      <c r="U20" s="17">
        <f t="shared" si="3"/>
        <v>428.2</v>
      </c>
      <c r="V20" s="8"/>
      <c r="W20" s="1"/>
    </row>
    <row r="21" spans="1:23" ht="33.75" hidden="1" customHeight="1" outlineLevel="1" x14ac:dyDescent="0.25">
      <c r="A21" s="41"/>
      <c r="B21" s="34"/>
      <c r="C21" s="42"/>
      <c r="D21" s="12"/>
      <c r="E21" s="155" t="s">
        <v>320</v>
      </c>
      <c r="F21" s="155"/>
      <c r="G21" s="155"/>
      <c r="H21" s="155"/>
      <c r="I21" s="13" t="s">
        <v>162</v>
      </c>
      <c r="J21" s="5" t="s">
        <v>11</v>
      </c>
      <c r="K21" s="5" t="s">
        <v>2</v>
      </c>
      <c r="L21" s="5" t="s">
        <v>10</v>
      </c>
      <c r="M21" s="17">
        <v>10</v>
      </c>
      <c r="N21" s="17"/>
      <c r="O21" s="17">
        <f t="shared" si="1"/>
        <v>10</v>
      </c>
      <c r="P21" s="17">
        <v>10</v>
      </c>
      <c r="Q21" s="17"/>
      <c r="R21" s="17">
        <f t="shared" si="2"/>
        <v>10</v>
      </c>
      <c r="S21" s="17">
        <v>10</v>
      </c>
      <c r="T21" s="17"/>
      <c r="U21" s="17">
        <f t="shared" si="3"/>
        <v>10</v>
      </c>
      <c r="V21" s="8"/>
      <c r="W21" s="1"/>
    </row>
    <row r="22" spans="1:23" ht="36.75" customHeight="1" collapsed="1" x14ac:dyDescent="0.25">
      <c r="A22" s="41"/>
      <c r="B22" s="1"/>
      <c r="D22" s="162" t="s">
        <v>311</v>
      </c>
      <c r="E22" s="163"/>
      <c r="F22" s="163"/>
      <c r="G22" s="163"/>
      <c r="H22" s="164"/>
      <c r="I22" s="53" t="s">
        <v>161</v>
      </c>
      <c r="J22" s="54" t="s">
        <v>26</v>
      </c>
      <c r="K22" s="54" t="s">
        <v>4</v>
      </c>
      <c r="L22" s="54" t="s">
        <v>4</v>
      </c>
      <c r="M22" s="56">
        <f>SUM(M23+M26)</f>
        <v>10090.4</v>
      </c>
      <c r="N22" s="56">
        <f>SUM(N23+N26)</f>
        <v>0</v>
      </c>
      <c r="O22" s="55">
        <f t="shared" si="1"/>
        <v>10090.4</v>
      </c>
      <c r="P22" s="56">
        <f>SUM(P23+P26)</f>
        <v>10090.4</v>
      </c>
      <c r="Q22" s="56">
        <f>SUM(Q23+Q26)</f>
        <v>0</v>
      </c>
      <c r="R22" s="55">
        <f t="shared" si="2"/>
        <v>10090.4</v>
      </c>
      <c r="S22" s="55">
        <v>10129.9</v>
      </c>
      <c r="T22" s="55">
        <f>SUM(T23+T26)</f>
        <v>3223.7</v>
      </c>
      <c r="U22" s="55">
        <f t="shared" si="3"/>
        <v>13353.599999999999</v>
      </c>
      <c r="V22" s="57"/>
      <c r="W22" s="1"/>
    </row>
    <row r="23" spans="1:23" ht="33" customHeight="1" x14ac:dyDescent="0.25">
      <c r="A23" s="41"/>
      <c r="B23" s="34"/>
      <c r="C23" s="42"/>
      <c r="D23" s="12"/>
      <c r="E23" s="154" t="s">
        <v>369</v>
      </c>
      <c r="F23" s="154"/>
      <c r="G23" s="154"/>
      <c r="H23" s="154"/>
      <c r="I23" s="65" t="s">
        <v>160</v>
      </c>
      <c r="J23" s="66" t="s">
        <v>26</v>
      </c>
      <c r="K23" s="66">
        <v>1</v>
      </c>
      <c r="L23" s="66"/>
      <c r="M23" s="67">
        <f>SUM(M24+M25)</f>
        <v>3169</v>
      </c>
      <c r="N23" s="67">
        <f>SUM(N24+N25)</f>
        <v>0</v>
      </c>
      <c r="O23" s="67">
        <f>SUM(M23:N23)</f>
        <v>3169</v>
      </c>
      <c r="P23" s="67">
        <f>SUM(P24+P25)</f>
        <v>3169</v>
      </c>
      <c r="Q23" s="67">
        <f>SUM(Q24+Q25)</f>
        <v>0</v>
      </c>
      <c r="R23" s="67">
        <f t="shared" ref="R23:R29" si="4">SUM(P23:Q23)</f>
        <v>3169</v>
      </c>
      <c r="S23" s="67">
        <v>3208.5</v>
      </c>
      <c r="T23" s="67">
        <f>SUM(T24+T25)</f>
        <v>749.3</v>
      </c>
      <c r="U23" s="67">
        <f t="shared" ref="U23:U28" si="5">SUM(S23:T23)</f>
        <v>3957.8</v>
      </c>
      <c r="V23" s="68" t="s">
        <v>400</v>
      </c>
      <c r="W23" s="1"/>
    </row>
    <row r="24" spans="1:23" ht="33" hidden="1" customHeight="1" outlineLevel="1" x14ac:dyDescent="0.25">
      <c r="A24" s="41"/>
      <c r="B24" s="34"/>
      <c r="C24" s="42"/>
      <c r="D24" s="12"/>
      <c r="E24" s="155" t="s">
        <v>366</v>
      </c>
      <c r="F24" s="155"/>
      <c r="G24" s="155"/>
      <c r="H24" s="155"/>
      <c r="I24" s="13" t="s">
        <v>160</v>
      </c>
      <c r="J24" s="5" t="s">
        <v>26</v>
      </c>
      <c r="K24" s="5">
        <v>1</v>
      </c>
      <c r="L24" s="5" t="s">
        <v>159</v>
      </c>
      <c r="M24" s="17">
        <v>325.10000000000002</v>
      </c>
      <c r="N24" s="17"/>
      <c r="O24" s="17">
        <f>SUM(M24:N24)</f>
        <v>325.10000000000002</v>
      </c>
      <c r="P24" s="17">
        <v>325.10000000000002</v>
      </c>
      <c r="Q24" s="17"/>
      <c r="R24" s="17">
        <f t="shared" si="4"/>
        <v>325.10000000000002</v>
      </c>
      <c r="S24" s="17">
        <v>325.10000000000002</v>
      </c>
      <c r="T24" s="17"/>
      <c r="U24" s="17">
        <f t="shared" si="5"/>
        <v>325.10000000000002</v>
      </c>
      <c r="V24" s="8"/>
      <c r="W24" s="1"/>
    </row>
    <row r="25" spans="1:23" ht="33" hidden="1" customHeight="1" outlineLevel="1" x14ac:dyDescent="0.25">
      <c r="A25" s="41"/>
      <c r="B25" s="34"/>
      <c r="C25" s="42"/>
      <c r="D25" s="12"/>
      <c r="E25" s="160" t="s">
        <v>355</v>
      </c>
      <c r="F25" s="160"/>
      <c r="G25" s="160"/>
      <c r="H25" s="161"/>
      <c r="I25" s="13" t="s">
        <v>160</v>
      </c>
      <c r="J25" s="5" t="s">
        <v>26</v>
      </c>
      <c r="K25" s="5">
        <v>1</v>
      </c>
      <c r="L25" s="9" t="s">
        <v>356</v>
      </c>
      <c r="M25" s="17">
        <v>2843.9</v>
      </c>
      <c r="N25" s="17"/>
      <c r="O25" s="17">
        <f t="shared" ref="O25:O31" si="6">SUM(M25:N25)</f>
        <v>2843.9</v>
      </c>
      <c r="P25" s="17">
        <v>2843.9</v>
      </c>
      <c r="Q25" s="17"/>
      <c r="R25" s="17">
        <f t="shared" si="4"/>
        <v>2843.9</v>
      </c>
      <c r="S25" s="17">
        <v>2883.4</v>
      </c>
      <c r="T25" s="17">
        <v>749.3</v>
      </c>
      <c r="U25" s="17">
        <f t="shared" si="5"/>
        <v>3632.7</v>
      </c>
      <c r="V25" s="8" t="s">
        <v>400</v>
      </c>
      <c r="W25" s="1"/>
    </row>
    <row r="26" spans="1:23" ht="51" customHeight="1" collapsed="1" x14ac:dyDescent="0.25">
      <c r="A26" s="41"/>
      <c r="B26" s="34"/>
      <c r="C26" s="42"/>
      <c r="D26" s="12"/>
      <c r="E26" s="154" t="s">
        <v>370</v>
      </c>
      <c r="F26" s="154"/>
      <c r="G26" s="154"/>
      <c r="H26" s="154"/>
      <c r="I26" s="65" t="s">
        <v>160</v>
      </c>
      <c r="J26" s="66" t="s">
        <v>26</v>
      </c>
      <c r="K26" s="66">
        <v>2</v>
      </c>
      <c r="L26" s="66"/>
      <c r="M26" s="67">
        <f>SUM(M27+M28)</f>
        <v>6921.4</v>
      </c>
      <c r="N26" s="67">
        <f>SUM(N27+N28)</f>
        <v>0</v>
      </c>
      <c r="O26" s="67">
        <f t="shared" si="6"/>
        <v>6921.4</v>
      </c>
      <c r="P26" s="67">
        <f>SUM(P27+P28)</f>
        <v>6921.4</v>
      </c>
      <c r="Q26" s="67">
        <f>SUM(Q27+Q28)</f>
        <v>0</v>
      </c>
      <c r="R26" s="67">
        <f t="shared" si="4"/>
        <v>6921.4</v>
      </c>
      <c r="S26" s="67">
        <v>6921.4</v>
      </c>
      <c r="T26" s="67">
        <f>SUM(T27+T28)</f>
        <v>2474.4</v>
      </c>
      <c r="U26" s="67">
        <f t="shared" si="5"/>
        <v>9395.7999999999993</v>
      </c>
      <c r="V26" s="68" t="s">
        <v>432</v>
      </c>
      <c r="W26" s="1"/>
    </row>
    <row r="27" spans="1:23" ht="23.25" hidden="1" customHeight="1" outlineLevel="1" x14ac:dyDescent="0.25">
      <c r="A27" s="41"/>
      <c r="B27" s="34"/>
      <c r="C27" s="42"/>
      <c r="D27" s="12"/>
      <c r="E27" s="155" t="s">
        <v>371</v>
      </c>
      <c r="F27" s="155"/>
      <c r="G27" s="155"/>
      <c r="H27" s="155"/>
      <c r="I27" s="13" t="s">
        <v>158</v>
      </c>
      <c r="J27" s="5" t="s">
        <v>26</v>
      </c>
      <c r="K27" s="5">
        <v>2</v>
      </c>
      <c r="L27" s="5" t="s">
        <v>13</v>
      </c>
      <c r="M27" s="17">
        <v>111.4</v>
      </c>
      <c r="N27" s="17"/>
      <c r="O27" s="17">
        <f t="shared" si="6"/>
        <v>111.4</v>
      </c>
      <c r="P27" s="17">
        <v>111.4</v>
      </c>
      <c r="Q27" s="17"/>
      <c r="R27" s="17">
        <f t="shared" si="4"/>
        <v>111.4</v>
      </c>
      <c r="S27" s="17">
        <v>111.4</v>
      </c>
      <c r="T27" s="17">
        <v>-41.4</v>
      </c>
      <c r="U27" s="17">
        <f t="shared" si="5"/>
        <v>70</v>
      </c>
      <c r="V27" s="8" t="s">
        <v>398</v>
      </c>
      <c r="W27" s="1"/>
    </row>
    <row r="28" spans="1:23" ht="30.75" hidden="1" customHeight="1" outlineLevel="1" x14ac:dyDescent="0.25">
      <c r="A28" s="41" t="s">
        <v>375</v>
      </c>
      <c r="B28" s="34"/>
      <c r="C28" s="42"/>
      <c r="D28" s="12"/>
      <c r="E28" s="155" t="s">
        <v>375</v>
      </c>
      <c r="F28" s="155"/>
      <c r="G28" s="155"/>
      <c r="H28" s="155"/>
      <c r="I28" s="13" t="s">
        <v>158</v>
      </c>
      <c r="J28" s="5" t="s">
        <v>26</v>
      </c>
      <c r="K28" s="5">
        <v>2</v>
      </c>
      <c r="L28" s="5" t="s">
        <v>11</v>
      </c>
      <c r="M28" s="17">
        <v>6810</v>
      </c>
      <c r="N28" s="17"/>
      <c r="O28" s="17">
        <f>SUM(M28:N28)</f>
        <v>6810</v>
      </c>
      <c r="P28" s="17">
        <v>6810</v>
      </c>
      <c r="Q28" s="17"/>
      <c r="R28" s="17">
        <f t="shared" si="4"/>
        <v>6810</v>
      </c>
      <c r="S28" s="17">
        <v>6810</v>
      </c>
      <c r="T28" s="17">
        <v>2515.8000000000002</v>
      </c>
      <c r="U28" s="17">
        <f t="shared" si="5"/>
        <v>9325.7999999999993</v>
      </c>
      <c r="V28" s="8" t="s">
        <v>401</v>
      </c>
      <c r="W28" s="1"/>
    </row>
    <row r="29" spans="1:23" ht="28.5" customHeight="1" collapsed="1" x14ac:dyDescent="0.25">
      <c r="A29" s="41"/>
      <c r="B29" s="1"/>
      <c r="D29" s="162" t="s">
        <v>298</v>
      </c>
      <c r="E29" s="163"/>
      <c r="F29" s="163"/>
      <c r="G29" s="163"/>
      <c r="H29" s="164"/>
      <c r="I29" s="53" t="s">
        <v>157</v>
      </c>
      <c r="J29" s="54" t="s">
        <v>10</v>
      </c>
      <c r="K29" s="54" t="s">
        <v>4</v>
      </c>
      <c r="L29" s="54" t="s">
        <v>4</v>
      </c>
      <c r="M29" s="56">
        <f>M30+M35+M39</f>
        <v>5030</v>
      </c>
      <c r="N29" s="56">
        <f>N30+N35+N39</f>
        <v>0</v>
      </c>
      <c r="O29" s="55">
        <f t="shared" si="6"/>
        <v>5030</v>
      </c>
      <c r="P29" s="56">
        <f>P30+P35+P39</f>
        <v>5030</v>
      </c>
      <c r="Q29" s="56">
        <f>Q30+Q35+Q39</f>
        <v>0</v>
      </c>
      <c r="R29" s="55">
        <f t="shared" si="4"/>
        <v>5030</v>
      </c>
      <c r="S29" s="55">
        <v>5095</v>
      </c>
      <c r="T29" s="55">
        <f>SUM(T30+T35+T39)</f>
        <v>0</v>
      </c>
      <c r="U29" s="55">
        <f t="shared" ref="U29:U36" si="7">SUM(S29:T29)</f>
        <v>5095</v>
      </c>
      <c r="V29" s="58"/>
      <c r="W29" s="1"/>
    </row>
    <row r="30" spans="1:23" ht="67.5" customHeight="1" x14ac:dyDescent="0.25">
      <c r="A30" s="41"/>
      <c r="B30" s="34"/>
      <c r="C30" s="42"/>
      <c r="D30" s="157" t="s">
        <v>188</v>
      </c>
      <c r="E30" s="154"/>
      <c r="F30" s="154"/>
      <c r="G30" s="154"/>
      <c r="H30" s="154"/>
      <c r="I30" s="65" t="s">
        <v>156</v>
      </c>
      <c r="J30" s="66" t="s">
        <v>10</v>
      </c>
      <c r="K30" s="66" t="s">
        <v>23</v>
      </c>
      <c r="L30" s="66" t="s">
        <v>4</v>
      </c>
      <c r="M30" s="67">
        <f t="shared" ref="M30:R30" si="8">M31</f>
        <v>4500</v>
      </c>
      <c r="N30" s="67">
        <f t="shared" si="8"/>
        <v>0</v>
      </c>
      <c r="O30" s="67">
        <f t="shared" si="8"/>
        <v>4500</v>
      </c>
      <c r="P30" s="67">
        <f t="shared" si="8"/>
        <v>4500</v>
      </c>
      <c r="Q30" s="67">
        <f t="shared" si="8"/>
        <v>0</v>
      </c>
      <c r="R30" s="67">
        <f t="shared" si="8"/>
        <v>4500</v>
      </c>
      <c r="S30" s="67">
        <v>4565</v>
      </c>
      <c r="T30" s="67">
        <f>SUM(T31:T34)</f>
        <v>20</v>
      </c>
      <c r="U30" s="67">
        <f t="shared" si="7"/>
        <v>4585</v>
      </c>
      <c r="V30" s="68" t="s">
        <v>428</v>
      </c>
      <c r="W30" s="1"/>
    </row>
    <row r="31" spans="1:23" ht="39" hidden="1" customHeight="1" outlineLevel="1" x14ac:dyDescent="0.25">
      <c r="A31" s="41"/>
      <c r="B31" s="34"/>
      <c r="C31" s="42"/>
      <c r="D31" s="12"/>
      <c r="E31" s="156" t="s">
        <v>289</v>
      </c>
      <c r="F31" s="155"/>
      <c r="G31" s="155"/>
      <c r="H31" s="155"/>
      <c r="I31" s="13" t="s">
        <v>156</v>
      </c>
      <c r="J31" s="5" t="s">
        <v>10</v>
      </c>
      <c r="K31" s="5" t="s">
        <v>23</v>
      </c>
      <c r="L31" s="5" t="s">
        <v>13</v>
      </c>
      <c r="M31" s="17">
        <v>4500</v>
      </c>
      <c r="N31" s="17"/>
      <c r="O31" s="17">
        <f t="shared" si="6"/>
        <v>4500</v>
      </c>
      <c r="P31" s="17">
        <v>4500</v>
      </c>
      <c r="Q31" s="17"/>
      <c r="R31" s="17">
        <f>SUM(P31:Q31)</f>
        <v>4500</v>
      </c>
      <c r="S31" s="17">
        <v>4565</v>
      </c>
      <c r="T31" s="17">
        <v>-8.6999999999999993</v>
      </c>
      <c r="U31" s="17">
        <f t="shared" si="7"/>
        <v>4556.3</v>
      </c>
      <c r="V31" s="8" t="s">
        <v>412</v>
      </c>
      <c r="W31" s="1"/>
    </row>
    <row r="32" spans="1:23" ht="22.5" hidden="1" customHeight="1" outlineLevel="1" x14ac:dyDescent="0.25">
      <c r="A32" s="41"/>
      <c r="B32" s="34"/>
      <c r="C32" s="42"/>
      <c r="D32" s="12"/>
      <c r="E32" s="165" t="s">
        <v>389</v>
      </c>
      <c r="F32" s="181"/>
      <c r="G32" s="181"/>
      <c r="H32" s="182"/>
      <c r="I32" s="13"/>
      <c r="J32" s="5" t="s">
        <v>10</v>
      </c>
      <c r="K32" s="5" t="s">
        <v>23</v>
      </c>
      <c r="L32" s="9" t="s">
        <v>11</v>
      </c>
      <c r="M32" s="17"/>
      <c r="N32" s="17"/>
      <c r="O32" s="17"/>
      <c r="P32" s="17"/>
      <c r="Q32" s="17"/>
      <c r="R32" s="17"/>
      <c r="S32" s="17">
        <v>0</v>
      </c>
      <c r="T32" s="17"/>
      <c r="U32" s="17">
        <f t="shared" si="7"/>
        <v>0</v>
      </c>
      <c r="V32" s="8"/>
      <c r="W32" s="1"/>
    </row>
    <row r="33" spans="1:23" ht="27" hidden="1" customHeight="1" outlineLevel="1" x14ac:dyDescent="0.25">
      <c r="A33" s="41"/>
      <c r="B33" s="34"/>
      <c r="C33" s="42"/>
      <c r="D33" s="12"/>
      <c r="E33" s="165" t="s">
        <v>390</v>
      </c>
      <c r="F33" s="160"/>
      <c r="G33" s="160"/>
      <c r="H33" s="161"/>
      <c r="I33" s="13"/>
      <c r="J33" s="5" t="s">
        <v>10</v>
      </c>
      <c r="K33" s="5" t="s">
        <v>23</v>
      </c>
      <c r="L33" s="9" t="s">
        <v>26</v>
      </c>
      <c r="M33" s="17"/>
      <c r="N33" s="17"/>
      <c r="O33" s="17"/>
      <c r="P33" s="17"/>
      <c r="Q33" s="17"/>
      <c r="R33" s="17"/>
      <c r="S33" s="17">
        <v>0</v>
      </c>
      <c r="T33" s="17"/>
      <c r="U33" s="17">
        <f t="shared" si="7"/>
        <v>0</v>
      </c>
      <c r="V33" s="8"/>
      <c r="W33" s="1"/>
    </row>
    <row r="34" spans="1:23" ht="38.25" hidden="1" customHeight="1" outlineLevel="1" x14ac:dyDescent="0.25">
      <c r="A34" s="41"/>
      <c r="B34" s="34"/>
      <c r="C34" s="42"/>
      <c r="D34" s="12"/>
      <c r="E34" s="165" t="s">
        <v>391</v>
      </c>
      <c r="F34" s="160"/>
      <c r="G34" s="160"/>
      <c r="H34" s="161"/>
      <c r="I34" s="13"/>
      <c r="J34" s="5" t="s">
        <v>10</v>
      </c>
      <c r="K34" s="5" t="s">
        <v>23</v>
      </c>
      <c r="L34" s="9" t="s">
        <v>10</v>
      </c>
      <c r="M34" s="17"/>
      <c r="N34" s="17"/>
      <c r="O34" s="17"/>
      <c r="P34" s="17"/>
      <c r="Q34" s="17"/>
      <c r="R34" s="17"/>
      <c r="S34" s="17">
        <v>0</v>
      </c>
      <c r="T34" s="17">
        <v>28.7</v>
      </c>
      <c r="U34" s="17">
        <f t="shared" si="7"/>
        <v>28.7</v>
      </c>
      <c r="V34" s="8" t="s">
        <v>413</v>
      </c>
      <c r="W34" s="1"/>
    </row>
    <row r="35" spans="1:23" ht="24" customHeight="1" collapsed="1" x14ac:dyDescent="0.25">
      <c r="A35" s="41"/>
      <c r="B35" s="34"/>
      <c r="C35" s="42"/>
      <c r="D35" s="157" t="s">
        <v>191</v>
      </c>
      <c r="E35" s="154"/>
      <c r="F35" s="154"/>
      <c r="G35" s="154"/>
      <c r="H35" s="154"/>
      <c r="I35" s="65" t="s">
        <v>155</v>
      </c>
      <c r="J35" s="66" t="s">
        <v>10</v>
      </c>
      <c r="K35" s="66" t="s">
        <v>18</v>
      </c>
      <c r="L35" s="66" t="s">
        <v>4</v>
      </c>
      <c r="M35" s="67">
        <f>M37+M38</f>
        <v>30</v>
      </c>
      <c r="N35" s="67">
        <f>N37+N38</f>
        <v>0</v>
      </c>
      <c r="O35" s="67">
        <f>SUM(M35:N35)</f>
        <v>30</v>
      </c>
      <c r="P35" s="67">
        <f>P37+P38</f>
        <v>30</v>
      </c>
      <c r="Q35" s="67">
        <f>Q37+Q38</f>
        <v>0</v>
      </c>
      <c r="R35" s="67">
        <f>SUM(P35:Q35)</f>
        <v>30</v>
      </c>
      <c r="S35" s="67">
        <v>30</v>
      </c>
      <c r="T35" s="67">
        <f>SUM(T36+T37+T38)</f>
        <v>0</v>
      </c>
      <c r="U35" s="67">
        <f t="shared" si="7"/>
        <v>30</v>
      </c>
      <c r="V35" s="68"/>
      <c r="W35" s="1"/>
    </row>
    <row r="36" spans="1:23" ht="47.25" hidden="1" customHeight="1" outlineLevel="1" x14ac:dyDescent="0.25">
      <c r="A36" s="41"/>
      <c r="B36" s="34"/>
      <c r="C36" s="42"/>
      <c r="D36" s="84"/>
      <c r="E36" s="165" t="s">
        <v>367</v>
      </c>
      <c r="F36" s="160"/>
      <c r="G36" s="160"/>
      <c r="H36" s="161"/>
      <c r="I36" s="65"/>
      <c r="J36" s="5">
        <v>4</v>
      </c>
      <c r="K36" s="5">
        <v>2</v>
      </c>
      <c r="L36" s="9" t="s">
        <v>13</v>
      </c>
      <c r="M36" s="17">
        <v>0</v>
      </c>
      <c r="N36" s="17"/>
      <c r="O36" s="17"/>
      <c r="P36" s="17">
        <v>0</v>
      </c>
      <c r="Q36" s="17"/>
      <c r="R36" s="17"/>
      <c r="S36" s="17">
        <v>0</v>
      </c>
      <c r="T36" s="17"/>
      <c r="U36" s="17">
        <f t="shared" si="7"/>
        <v>0</v>
      </c>
      <c r="V36" s="85"/>
      <c r="W36" s="1"/>
    </row>
    <row r="37" spans="1:23" ht="24.75" hidden="1" customHeight="1" outlineLevel="3" x14ac:dyDescent="0.25">
      <c r="A37" s="41"/>
      <c r="B37" s="34"/>
      <c r="C37" s="42"/>
      <c r="D37" s="12"/>
      <c r="E37" s="156" t="s">
        <v>189</v>
      </c>
      <c r="F37" s="155"/>
      <c r="G37" s="155"/>
      <c r="H37" s="155"/>
      <c r="I37" s="13" t="s">
        <v>154</v>
      </c>
      <c r="J37" s="5" t="s">
        <v>10</v>
      </c>
      <c r="K37" s="5" t="s">
        <v>18</v>
      </c>
      <c r="L37" s="5" t="s">
        <v>11</v>
      </c>
      <c r="M37" s="17">
        <v>10</v>
      </c>
      <c r="N37" s="17"/>
      <c r="O37" s="17">
        <f>SUM(M37:N37)</f>
        <v>10</v>
      </c>
      <c r="P37" s="17">
        <v>10</v>
      </c>
      <c r="Q37" s="17"/>
      <c r="R37" s="17">
        <f>SUM(P37:Q37)</f>
        <v>10</v>
      </c>
      <c r="S37" s="17">
        <v>10</v>
      </c>
      <c r="T37" s="17"/>
      <c r="U37" s="17">
        <f t="shared" ref="U37:U45" si="9">SUM(S37:T37)</f>
        <v>10</v>
      </c>
      <c r="V37" s="8"/>
      <c r="W37" s="1"/>
    </row>
    <row r="38" spans="1:23" ht="42.75" hidden="1" customHeight="1" outlineLevel="3" x14ac:dyDescent="0.25">
      <c r="A38" s="41"/>
      <c r="B38" s="34"/>
      <c r="C38" s="42"/>
      <c r="D38" s="12"/>
      <c r="E38" s="156" t="s">
        <v>190</v>
      </c>
      <c r="F38" s="155"/>
      <c r="G38" s="155"/>
      <c r="H38" s="155"/>
      <c r="I38" s="13" t="s">
        <v>153</v>
      </c>
      <c r="J38" s="5" t="s">
        <v>10</v>
      </c>
      <c r="K38" s="5" t="s">
        <v>18</v>
      </c>
      <c r="L38" s="5" t="s">
        <v>26</v>
      </c>
      <c r="M38" s="17">
        <v>20</v>
      </c>
      <c r="N38" s="17"/>
      <c r="O38" s="17">
        <f>SUM(M38:N38)</f>
        <v>20</v>
      </c>
      <c r="P38" s="17">
        <v>20</v>
      </c>
      <c r="Q38" s="17"/>
      <c r="R38" s="17">
        <f>SUM(P38:Q38)</f>
        <v>20</v>
      </c>
      <c r="S38" s="17">
        <v>20</v>
      </c>
      <c r="T38" s="17"/>
      <c r="U38" s="17">
        <f t="shared" si="9"/>
        <v>20</v>
      </c>
      <c r="V38" s="8"/>
      <c r="W38" s="1"/>
    </row>
    <row r="39" spans="1:23" ht="37.5" customHeight="1" collapsed="1" x14ac:dyDescent="0.25">
      <c r="A39" s="41"/>
      <c r="B39" s="34"/>
      <c r="C39" s="42"/>
      <c r="D39" s="157" t="s">
        <v>192</v>
      </c>
      <c r="E39" s="154"/>
      <c r="F39" s="154"/>
      <c r="G39" s="154"/>
      <c r="H39" s="154"/>
      <c r="I39" s="65" t="s">
        <v>152</v>
      </c>
      <c r="J39" s="66" t="s">
        <v>10</v>
      </c>
      <c r="K39" s="66" t="s">
        <v>27</v>
      </c>
      <c r="L39" s="66" t="s">
        <v>4</v>
      </c>
      <c r="M39" s="67">
        <f t="shared" ref="M39:R39" si="10">M40</f>
        <v>500</v>
      </c>
      <c r="N39" s="67">
        <f t="shared" si="10"/>
        <v>0</v>
      </c>
      <c r="O39" s="67">
        <f t="shared" si="10"/>
        <v>500</v>
      </c>
      <c r="P39" s="67">
        <f t="shared" si="10"/>
        <v>500</v>
      </c>
      <c r="Q39" s="67">
        <f t="shared" si="10"/>
        <v>0</v>
      </c>
      <c r="R39" s="67">
        <f t="shared" si="10"/>
        <v>500</v>
      </c>
      <c r="S39" s="67">
        <v>500</v>
      </c>
      <c r="T39" s="67">
        <f>SUM(T40)</f>
        <v>-20</v>
      </c>
      <c r="U39" s="67">
        <f t="shared" si="9"/>
        <v>480</v>
      </c>
      <c r="V39" s="68" t="s">
        <v>414</v>
      </c>
      <c r="W39" s="1"/>
    </row>
    <row r="40" spans="1:23" ht="84" hidden="1" customHeight="1" outlineLevel="1" x14ac:dyDescent="0.25">
      <c r="A40" s="41"/>
      <c r="B40" s="34"/>
      <c r="C40" s="42"/>
      <c r="D40" s="12"/>
      <c r="E40" s="155" t="s">
        <v>360</v>
      </c>
      <c r="F40" s="155"/>
      <c r="G40" s="155"/>
      <c r="H40" s="155"/>
      <c r="I40" s="13" t="s">
        <v>152</v>
      </c>
      <c r="J40" s="5" t="s">
        <v>10</v>
      </c>
      <c r="K40" s="5" t="s">
        <v>27</v>
      </c>
      <c r="L40" s="5" t="s">
        <v>13</v>
      </c>
      <c r="M40" s="17">
        <v>500</v>
      </c>
      <c r="N40" s="17"/>
      <c r="O40" s="17">
        <f>SUM(M40:N40)</f>
        <v>500</v>
      </c>
      <c r="P40" s="17">
        <v>500</v>
      </c>
      <c r="Q40" s="17"/>
      <c r="R40" s="17">
        <f>SUM(P40:Q40)</f>
        <v>500</v>
      </c>
      <c r="S40" s="17">
        <v>500</v>
      </c>
      <c r="T40" s="17">
        <v>-20</v>
      </c>
      <c r="U40" s="17">
        <f t="shared" si="9"/>
        <v>480</v>
      </c>
      <c r="V40" s="75" t="s">
        <v>414</v>
      </c>
      <c r="W40" s="1"/>
    </row>
    <row r="41" spans="1:23" ht="27.75" customHeight="1" collapsed="1" x14ac:dyDescent="0.25">
      <c r="A41" s="41"/>
      <c r="B41" s="1"/>
      <c r="D41" s="162" t="s">
        <v>321</v>
      </c>
      <c r="E41" s="163"/>
      <c r="F41" s="163"/>
      <c r="G41" s="163"/>
      <c r="H41" s="164"/>
      <c r="I41" s="53" t="s">
        <v>151</v>
      </c>
      <c r="J41" s="54" t="s">
        <v>7</v>
      </c>
      <c r="K41" s="54" t="s">
        <v>4</v>
      </c>
      <c r="L41" s="54" t="s">
        <v>4</v>
      </c>
      <c r="M41" s="56">
        <f>M42+M44</f>
        <v>40754.6</v>
      </c>
      <c r="N41" s="56">
        <f>N42+N44</f>
        <v>0</v>
      </c>
      <c r="O41" s="55">
        <f>SUM(M41:N41)</f>
        <v>40754.6</v>
      </c>
      <c r="P41" s="56">
        <f>P42+P44</f>
        <v>40754.6</v>
      </c>
      <c r="Q41" s="56">
        <f>Q42+Q44</f>
        <v>-455</v>
      </c>
      <c r="R41" s="55">
        <f>SUM(P41:Q41)</f>
        <v>40299.599999999999</v>
      </c>
      <c r="S41" s="55">
        <v>38900.699999999997</v>
      </c>
      <c r="T41" s="55">
        <f>SUM(T42+T44)</f>
        <v>-700</v>
      </c>
      <c r="U41" s="55">
        <f t="shared" si="9"/>
        <v>38200.699999999997</v>
      </c>
      <c r="V41" s="58"/>
      <c r="W41" s="1"/>
    </row>
    <row r="42" spans="1:23" ht="45.75" customHeight="1" x14ac:dyDescent="0.25">
      <c r="A42" s="41"/>
      <c r="B42" s="34"/>
      <c r="C42" s="42"/>
      <c r="D42" s="157" t="s">
        <v>193</v>
      </c>
      <c r="E42" s="154"/>
      <c r="F42" s="154"/>
      <c r="G42" s="154"/>
      <c r="H42" s="154"/>
      <c r="I42" s="65" t="s">
        <v>150</v>
      </c>
      <c r="J42" s="66" t="s">
        <v>7</v>
      </c>
      <c r="K42" s="66" t="s">
        <v>23</v>
      </c>
      <c r="L42" s="66" t="s">
        <v>4</v>
      </c>
      <c r="M42" s="67">
        <f t="shared" ref="M42:R42" si="11">M43</f>
        <v>36577.599999999999</v>
      </c>
      <c r="N42" s="67">
        <f t="shared" si="11"/>
        <v>0</v>
      </c>
      <c r="O42" s="67">
        <f t="shared" si="11"/>
        <v>36577.599999999999</v>
      </c>
      <c r="P42" s="67">
        <f t="shared" si="11"/>
        <v>36577.599999999999</v>
      </c>
      <c r="Q42" s="67">
        <f t="shared" si="11"/>
        <v>0</v>
      </c>
      <c r="R42" s="67">
        <f t="shared" si="11"/>
        <v>36577.599999999999</v>
      </c>
      <c r="S42" s="67">
        <v>36990.400000000001</v>
      </c>
      <c r="T42" s="67">
        <f>SUM(T43)</f>
        <v>0</v>
      </c>
      <c r="U42" s="67">
        <f t="shared" si="9"/>
        <v>36990.400000000001</v>
      </c>
      <c r="V42" s="68"/>
      <c r="W42" s="1"/>
    </row>
    <row r="43" spans="1:23" ht="47.25" hidden="1" customHeight="1" outlineLevel="1" x14ac:dyDescent="0.25">
      <c r="A43" s="41"/>
      <c r="B43" s="34"/>
      <c r="C43" s="42"/>
      <c r="D43" s="12"/>
      <c r="E43" s="156" t="s">
        <v>194</v>
      </c>
      <c r="F43" s="155"/>
      <c r="G43" s="155"/>
      <c r="H43" s="155"/>
      <c r="I43" s="13" t="s">
        <v>150</v>
      </c>
      <c r="J43" s="5" t="s">
        <v>7</v>
      </c>
      <c r="K43" s="5" t="s">
        <v>23</v>
      </c>
      <c r="L43" s="5" t="s">
        <v>13</v>
      </c>
      <c r="M43" s="17">
        <v>36577.599999999999</v>
      </c>
      <c r="N43" s="17"/>
      <c r="O43" s="17">
        <f>SUM(M43:N43)</f>
        <v>36577.599999999999</v>
      </c>
      <c r="P43" s="17">
        <v>36577.599999999999</v>
      </c>
      <c r="Q43" s="17"/>
      <c r="R43" s="17">
        <f>SUM(P43:Q43)</f>
        <v>36577.599999999999</v>
      </c>
      <c r="S43" s="17">
        <v>36990.400000000001</v>
      </c>
      <c r="T43" s="17"/>
      <c r="U43" s="17">
        <f t="shared" si="9"/>
        <v>36990.400000000001</v>
      </c>
      <c r="V43" s="8"/>
      <c r="W43" s="1"/>
    </row>
    <row r="44" spans="1:23" ht="35.25" customHeight="1" collapsed="1" x14ac:dyDescent="0.25">
      <c r="A44" s="41"/>
      <c r="B44" s="34"/>
      <c r="C44" s="42"/>
      <c r="D44" s="157" t="s">
        <v>287</v>
      </c>
      <c r="E44" s="154"/>
      <c r="F44" s="154"/>
      <c r="G44" s="154"/>
      <c r="H44" s="154"/>
      <c r="I44" s="65" t="s">
        <v>149</v>
      </c>
      <c r="J44" s="66" t="s">
        <v>7</v>
      </c>
      <c r="K44" s="66" t="s">
        <v>18</v>
      </c>
      <c r="L44" s="66" t="s">
        <v>4</v>
      </c>
      <c r="M44" s="67">
        <f t="shared" ref="M44:R44" si="12">M45</f>
        <v>4177</v>
      </c>
      <c r="N44" s="67">
        <f t="shared" si="12"/>
        <v>0</v>
      </c>
      <c r="O44" s="67">
        <f t="shared" si="12"/>
        <v>4177</v>
      </c>
      <c r="P44" s="67">
        <f t="shared" si="12"/>
        <v>4177</v>
      </c>
      <c r="Q44" s="67">
        <f t="shared" si="12"/>
        <v>-455</v>
      </c>
      <c r="R44" s="67">
        <f t="shared" si="12"/>
        <v>3722</v>
      </c>
      <c r="S44" s="67">
        <v>1910.3</v>
      </c>
      <c r="T44" s="67">
        <f>SUM(T45)</f>
        <v>-700</v>
      </c>
      <c r="U44" s="67">
        <f t="shared" si="9"/>
        <v>1210.3</v>
      </c>
      <c r="V44" s="68" t="s">
        <v>393</v>
      </c>
      <c r="W44" s="1"/>
    </row>
    <row r="45" spans="1:23" ht="42.75" hidden="1" customHeight="1" outlineLevel="1" x14ac:dyDescent="0.25">
      <c r="A45" s="41"/>
      <c r="B45" s="34"/>
      <c r="C45" s="42"/>
      <c r="D45" s="12"/>
      <c r="E45" s="156" t="s">
        <v>195</v>
      </c>
      <c r="F45" s="155"/>
      <c r="G45" s="155"/>
      <c r="H45" s="155"/>
      <c r="I45" s="13" t="s">
        <v>149</v>
      </c>
      <c r="J45" s="5" t="s">
        <v>7</v>
      </c>
      <c r="K45" s="5" t="s">
        <v>18</v>
      </c>
      <c r="L45" s="5" t="s">
        <v>13</v>
      </c>
      <c r="M45" s="17">
        <v>4177</v>
      </c>
      <c r="N45" s="17"/>
      <c r="O45" s="17">
        <f>SUM(M45:N45)</f>
        <v>4177</v>
      </c>
      <c r="P45" s="17">
        <v>4177</v>
      </c>
      <c r="Q45" s="17">
        <v>-455</v>
      </c>
      <c r="R45" s="17">
        <f>SUM(P45:Q45)</f>
        <v>3722</v>
      </c>
      <c r="S45" s="17">
        <v>1910.3</v>
      </c>
      <c r="T45" s="17">
        <v>-700</v>
      </c>
      <c r="U45" s="17">
        <f t="shared" si="9"/>
        <v>1210.3</v>
      </c>
      <c r="V45" s="8" t="s">
        <v>393</v>
      </c>
      <c r="W45" s="1"/>
    </row>
    <row r="46" spans="1:23" ht="74.25" customHeight="1" collapsed="1" x14ac:dyDescent="0.25">
      <c r="A46" s="41"/>
      <c r="B46" s="1"/>
      <c r="D46" s="162" t="s">
        <v>303</v>
      </c>
      <c r="E46" s="204"/>
      <c r="F46" s="204"/>
      <c r="G46" s="204"/>
      <c r="H46" s="205"/>
      <c r="I46" s="59" t="s">
        <v>148</v>
      </c>
      <c r="J46" s="60" t="s">
        <v>5</v>
      </c>
      <c r="K46" s="60" t="s">
        <v>4</v>
      </c>
      <c r="L46" s="60" t="s">
        <v>4</v>
      </c>
      <c r="M46" s="55">
        <f>M47+M53+M57</f>
        <v>455568.6</v>
      </c>
      <c r="N46" s="55">
        <f>N47+N53+N57</f>
        <v>1751.4</v>
      </c>
      <c r="O46" s="55">
        <f>SUM(M46:N46)</f>
        <v>457320</v>
      </c>
      <c r="P46" s="55">
        <v>457320</v>
      </c>
      <c r="Q46" s="55">
        <f>Q47+Q53+Q57</f>
        <v>2688.1</v>
      </c>
      <c r="R46" s="55">
        <f>SUM(P46:Q46)</f>
        <v>460008.1</v>
      </c>
      <c r="S46" s="55">
        <v>464752.69999999995</v>
      </c>
      <c r="T46" s="55">
        <f>T47+T53+T57</f>
        <v>33585.800000000003</v>
      </c>
      <c r="U46" s="55">
        <f t="shared" ref="U46:U58" si="13">SUM(S46:T46)</f>
        <v>498338.49999999994</v>
      </c>
      <c r="V46" s="57"/>
      <c r="W46" s="1"/>
    </row>
    <row r="47" spans="1:23" ht="88.5" customHeight="1" x14ac:dyDescent="0.25">
      <c r="A47" s="41"/>
      <c r="B47" s="34"/>
      <c r="C47" s="42"/>
      <c r="D47" s="153" t="s">
        <v>178</v>
      </c>
      <c r="E47" s="154"/>
      <c r="F47" s="154"/>
      <c r="G47" s="154"/>
      <c r="H47" s="154"/>
      <c r="I47" s="65" t="s">
        <v>147</v>
      </c>
      <c r="J47" s="66" t="s">
        <v>5</v>
      </c>
      <c r="K47" s="66" t="s">
        <v>23</v>
      </c>
      <c r="L47" s="66" t="s">
        <v>4</v>
      </c>
      <c r="M47" s="67">
        <f>M48+M49+M50+M51+M52</f>
        <v>11559.1</v>
      </c>
      <c r="N47" s="67">
        <f>N48+N49+N50+N51+N52</f>
        <v>1526.9</v>
      </c>
      <c r="O47" s="67">
        <f>O48+O49+O50+O51+O52</f>
        <v>13086</v>
      </c>
      <c r="P47" s="67">
        <v>13086</v>
      </c>
      <c r="Q47" s="67">
        <f>Q48+Q49+Q50+Q51+Q52</f>
        <v>714.9</v>
      </c>
      <c r="R47" s="67">
        <f>R48+R49+R50+R51+R52</f>
        <v>13800.9</v>
      </c>
      <c r="S47" s="67">
        <v>15145.4</v>
      </c>
      <c r="T47" s="67">
        <f>T48+T49+T50+T51</f>
        <v>131</v>
      </c>
      <c r="U47" s="67">
        <f t="shared" si="13"/>
        <v>15276.4</v>
      </c>
      <c r="V47" s="68" t="s">
        <v>430</v>
      </c>
      <c r="W47" s="1"/>
    </row>
    <row r="48" spans="1:23" ht="85.5" hidden="1" customHeight="1" outlineLevel="1" x14ac:dyDescent="0.25">
      <c r="A48" s="41"/>
      <c r="B48" s="34"/>
      <c r="C48" s="42"/>
      <c r="D48" s="12"/>
      <c r="E48" s="155" t="s">
        <v>196</v>
      </c>
      <c r="F48" s="155"/>
      <c r="G48" s="155"/>
      <c r="H48" s="155"/>
      <c r="I48" s="13" t="s">
        <v>146</v>
      </c>
      <c r="J48" s="5" t="s">
        <v>5</v>
      </c>
      <c r="K48" s="5" t="s">
        <v>23</v>
      </c>
      <c r="L48" s="5" t="s">
        <v>13</v>
      </c>
      <c r="M48" s="17">
        <v>809.1</v>
      </c>
      <c r="N48" s="17"/>
      <c r="O48" s="17">
        <f t="shared" ref="O48:O62" si="14">SUM(M48:N48)</f>
        <v>809.1</v>
      </c>
      <c r="P48" s="17">
        <v>809.1</v>
      </c>
      <c r="Q48" s="17"/>
      <c r="R48" s="17">
        <f t="shared" ref="R48:R56" si="15">SUM(P48:Q48)</f>
        <v>809.1</v>
      </c>
      <c r="S48" s="17">
        <v>1365.7</v>
      </c>
      <c r="T48" s="17"/>
      <c r="U48" s="17">
        <f t="shared" si="13"/>
        <v>1365.7</v>
      </c>
      <c r="V48" s="8"/>
      <c r="W48" s="1"/>
    </row>
    <row r="49" spans="1:23" ht="54.75" hidden="1" customHeight="1" outlineLevel="1" x14ac:dyDescent="0.25">
      <c r="A49" s="41"/>
      <c r="B49" s="34"/>
      <c r="C49" s="42"/>
      <c r="D49" s="12"/>
      <c r="E49" s="155" t="s">
        <v>197</v>
      </c>
      <c r="F49" s="155"/>
      <c r="G49" s="155"/>
      <c r="H49" s="155"/>
      <c r="I49" s="13" t="s">
        <v>145</v>
      </c>
      <c r="J49" s="5" t="s">
        <v>5</v>
      </c>
      <c r="K49" s="5" t="s">
        <v>23</v>
      </c>
      <c r="L49" s="5" t="s">
        <v>11</v>
      </c>
      <c r="M49" s="17">
        <v>50</v>
      </c>
      <c r="N49" s="17">
        <v>527</v>
      </c>
      <c r="O49" s="17">
        <f t="shared" si="14"/>
        <v>577</v>
      </c>
      <c r="P49" s="17">
        <v>577</v>
      </c>
      <c r="Q49" s="17">
        <v>500</v>
      </c>
      <c r="R49" s="17">
        <f t="shared" si="15"/>
        <v>1077</v>
      </c>
      <c r="S49" s="17">
        <v>837.9</v>
      </c>
      <c r="T49" s="17"/>
      <c r="U49" s="17">
        <f t="shared" si="13"/>
        <v>837.9</v>
      </c>
      <c r="V49" s="8"/>
      <c r="W49" s="1"/>
    </row>
    <row r="50" spans="1:23" ht="75" hidden="1" customHeight="1" outlineLevel="1" x14ac:dyDescent="0.25">
      <c r="A50" s="41"/>
      <c r="B50" s="34"/>
      <c r="C50" s="42"/>
      <c r="D50" s="12"/>
      <c r="E50" s="155" t="s">
        <v>198</v>
      </c>
      <c r="F50" s="155"/>
      <c r="G50" s="155"/>
      <c r="H50" s="155"/>
      <c r="I50" s="13" t="s">
        <v>144</v>
      </c>
      <c r="J50" s="5" t="s">
        <v>5</v>
      </c>
      <c r="K50" s="5" t="s">
        <v>23</v>
      </c>
      <c r="L50" s="5" t="s">
        <v>26</v>
      </c>
      <c r="M50" s="17">
        <v>5200</v>
      </c>
      <c r="N50" s="17">
        <f>999.9</f>
        <v>999.9</v>
      </c>
      <c r="O50" s="17">
        <f t="shared" si="14"/>
        <v>6199.9</v>
      </c>
      <c r="P50" s="17">
        <v>6199.9</v>
      </c>
      <c r="Q50" s="17">
        <v>214.9</v>
      </c>
      <c r="R50" s="17">
        <f t="shared" si="15"/>
        <v>6414.7999999999993</v>
      </c>
      <c r="S50" s="17">
        <v>7441.7999999999993</v>
      </c>
      <c r="T50" s="17">
        <f>-8.9+139.9</f>
        <v>131</v>
      </c>
      <c r="U50" s="17">
        <f t="shared" si="13"/>
        <v>7572.7999999999993</v>
      </c>
      <c r="V50" s="8" t="s">
        <v>415</v>
      </c>
      <c r="W50" s="1"/>
    </row>
    <row r="51" spans="1:23" ht="66.75" hidden="1" customHeight="1" outlineLevel="1" x14ac:dyDescent="0.25">
      <c r="A51" s="41"/>
      <c r="B51" s="34"/>
      <c r="C51" s="42"/>
      <c r="D51" s="12"/>
      <c r="E51" s="165" t="s">
        <v>352</v>
      </c>
      <c r="F51" s="160"/>
      <c r="G51" s="160"/>
      <c r="H51" s="161"/>
      <c r="I51" s="13"/>
      <c r="J51" s="5" t="s">
        <v>5</v>
      </c>
      <c r="K51" s="5" t="s">
        <v>23</v>
      </c>
      <c r="L51" s="9" t="s">
        <v>10</v>
      </c>
      <c r="M51" s="17">
        <v>500</v>
      </c>
      <c r="N51" s="17"/>
      <c r="O51" s="17">
        <f t="shared" si="14"/>
        <v>500</v>
      </c>
      <c r="P51" s="17">
        <v>500</v>
      </c>
      <c r="Q51" s="17"/>
      <c r="R51" s="17">
        <f t="shared" si="15"/>
        <v>500</v>
      </c>
      <c r="S51" s="17">
        <v>500</v>
      </c>
      <c r="T51" s="17"/>
      <c r="U51" s="17">
        <f t="shared" si="13"/>
        <v>500</v>
      </c>
      <c r="V51" s="8"/>
      <c r="W51" s="1"/>
    </row>
    <row r="52" spans="1:23" ht="22.5" hidden="1" customHeight="1" outlineLevel="1" x14ac:dyDescent="0.25">
      <c r="A52" s="41"/>
      <c r="B52" s="34"/>
      <c r="C52" s="42"/>
      <c r="D52" s="12"/>
      <c r="E52" s="154" t="s">
        <v>199</v>
      </c>
      <c r="F52" s="154"/>
      <c r="G52" s="154"/>
      <c r="H52" s="154"/>
      <c r="I52" s="65" t="s">
        <v>142</v>
      </c>
      <c r="J52" s="66" t="s">
        <v>5</v>
      </c>
      <c r="K52" s="66" t="s">
        <v>23</v>
      </c>
      <c r="L52" s="66" t="s">
        <v>143</v>
      </c>
      <c r="M52" s="67">
        <v>5000</v>
      </c>
      <c r="N52" s="67"/>
      <c r="O52" s="67">
        <f t="shared" si="14"/>
        <v>5000</v>
      </c>
      <c r="P52" s="67">
        <v>5000</v>
      </c>
      <c r="Q52" s="67"/>
      <c r="R52" s="67">
        <f t="shared" si="15"/>
        <v>5000</v>
      </c>
      <c r="S52" s="67">
        <v>5000</v>
      </c>
      <c r="T52" s="67"/>
      <c r="U52" s="67">
        <f t="shared" si="13"/>
        <v>5000</v>
      </c>
      <c r="V52" s="70"/>
      <c r="W52" s="1"/>
    </row>
    <row r="53" spans="1:23" ht="90.75" customHeight="1" collapsed="1" x14ac:dyDescent="0.25">
      <c r="A53" s="41"/>
      <c r="B53" s="34"/>
      <c r="C53" s="42"/>
      <c r="D53" s="153" t="s">
        <v>200</v>
      </c>
      <c r="E53" s="154"/>
      <c r="F53" s="154"/>
      <c r="G53" s="154"/>
      <c r="H53" s="154"/>
      <c r="I53" s="65" t="s">
        <v>141</v>
      </c>
      <c r="J53" s="66" t="s">
        <v>5</v>
      </c>
      <c r="K53" s="66" t="s">
        <v>18</v>
      </c>
      <c r="L53" s="66" t="s">
        <v>4</v>
      </c>
      <c r="M53" s="67">
        <f>M54+M55+M56</f>
        <v>3184.2</v>
      </c>
      <c r="N53" s="67">
        <f>N54+N55+N56</f>
        <v>224.5</v>
      </c>
      <c r="O53" s="67">
        <f>SUM(M53:N53)</f>
        <v>3408.7</v>
      </c>
      <c r="P53" s="67">
        <v>3408.7</v>
      </c>
      <c r="Q53" s="67">
        <f>Q54+Q55+Q56</f>
        <v>0</v>
      </c>
      <c r="R53" s="67">
        <f t="shared" si="15"/>
        <v>3408.7</v>
      </c>
      <c r="S53" s="67">
        <v>3910.7999999999997</v>
      </c>
      <c r="T53" s="67">
        <f>T54+T55+T56</f>
        <v>0</v>
      </c>
      <c r="U53" s="67">
        <f t="shared" si="13"/>
        <v>3910.7999999999997</v>
      </c>
      <c r="V53" s="68"/>
      <c r="W53" s="1"/>
    </row>
    <row r="54" spans="1:23" ht="52.5" hidden="1" customHeight="1" outlineLevel="1" x14ac:dyDescent="0.25">
      <c r="A54" s="41"/>
      <c r="B54" s="34"/>
      <c r="C54" s="42"/>
      <c r="D54" s="12"/>
      <c r="E54" s="155" t="s">
        <v>201</v>
      </c>
      <c r="F54" s="155"/>
      <c r="G54" s="155"/>
      <c r="H54" s="155"/>
      <c r="I54" s="13" t="s">
        <v>140</v>
      </c>
      <c r="J54" s="5" t="s">
        <v>5</v>
      </c>
      <c r="K54" s="5" t="s">
        <v>18</v>
      </c>
      <c r="L54" s="5" t="s">
        <v>13</v>
      </c>
      <c r="M54" s="17">
        <v>100</v>
      </c>
      <c r="N54" s="17"/>
      <c r="O54" s="17">
        <f t="shared" si="14"/>
        <v>100</v>
      </c>
      <c r="P54" s="17">
        <v>100</v>
      </c>
      <c r="Q54" s="17"/>
      <c r="R54" s="17">
        <f t="shared" si="15"/>
        <v>100</v>
      </c>
      <c r="S54" s="17">
        <v>100</v>
      </c>
      <c r="T54" s="17"/>
      <c r="U54" s="17">
        <f t="shared" si="13"/>
        <v>100</v>
      </c>
      <c r="V54" s="19"/>
      <c r="W54" s="1"/>
    </row>
    <row r="55" spans="1:23" ht="55.5" hidden="1" customHeight="1" outlineLevel="1" x14ac:dyDescent="0.25">
      <c r="A55" s="41"/>
      <c r="B55" s="34"/>
      <c r="C55" s="42"/>
      <c r="D55" s="12"/>
      <c r="E55" s="155" t="s">
        <v>202</v>
      </c>
      <c r="F55" s="155"/>
      <c r="G55" s="155"/>
      <c r="H55" s="155"/>
      <c r="I55" s="13" t="s">
        <v>139</v>
      </c>
      <c r="J55" s="5" t="s">
        <v>5</v>
      </c>
      <c r="K55" s="5" t="s">
        <v>18</v>
      </c>
      <c r="L55" s="5" t="s">
        <v>11</v>
      </c>
      <c r="M55" s="17">
        <v>284.2</v>
      </c>
      <c r="N55" s="17">
        <f>224.5</f>
        <v>224.5</v>
      </c>
      <c r="O55" s="17">
        <f t="shared" si="14"/>
        <v>508.7</v>
      </c>
      <c r="P55" s="17">
        <v>508.7</v>
      </c>
      <c r="Q55" s="17"/>
      <c r="R55" s="17">
        <f t="shared" si="15"/>
        <v>508.7</v>
      </c>
      <c r="S55" s="17">
        <v>508.7</v>
      </c>
      <c r="T55" s="17"/>
      <c r="U55" s="17">
        <f t="shared" si="13"/>
        <v>508.7</v>
      </c>
      <c r="V55" s="8"/>
      <c r="W55" s="1"/>
    </row>
    <row r="56" spans="1:23" ht="81.75" hidden="1" customHeight="1" outlineLevel="1" x14ac:dyDescent="0.25">
      <c r="A56" s="41"/>
      <c r="B56" s="34"/>
      <c r="C56" s="42"/>
      <c r="D56" s="12"/>
      <c r="E56" s="155" t="s">
        <v>306</v>
      </c>
      <c r="F56" s="155"/>
      <c r="G56" s="155"/>
      <c r="H56" s="155"/>
      <c r="I56" s="13" t="s">
        <v>138</v>
      </c>
      <c r="J56" s="5" t="s">
        <v>5</v>
      </c>
      <c r="K56" s="5" t="s">
        <v>18</v>
      </c>
      <c r="L56" s="5" t="s">
        <v>26</v>
      </c>
      <c r="M56" s="17">
        <v>2800</v>
      </c>
      <c r="N56" s="17"/>
      <c r="O56" s="16">
        <f t="shared" si="14"/>
        <v>2800</v>
      </c>
      <c r="P56" s="17">
        <v>2800</v>
      </c>
      <c r="Q56" s="17"/>
      <c r="R56" s="16">
        <f t="shared" si="15"/>
        <v>2800</v>
      </c>
      <c r="S56" s="17">
        <v>3302.1</v>
      </c>
      <c r="T56" s="17"/>
      <c r="U56" s="17">
        <f t="shared" si="13"/>
        <v>3302.1</v>
      </c>
      <c r="V56" s="8"/>
      <c r="W56" s="1"/>
    </row>
    <row r="57" spans="1:23" ht="90.75" customHeight="1" collapsed="1" x14ac:dyDescent="0.25">
      <c r="A57" s="41"/>
      <c r="B57" s="34"/>
      <c r="C57" s="42"/>
      <c r="D57" s="153" t="s">
        <v>203</v>
      </c>
      <c r="E57" s="154"/>
      <c r="F57" s="154"/>
      <c r="G57" s="154"/>
      <c r="H57" s="154"/>
      <c r="I57" s="65" t="s">
        <v>137</v>
      </c>
      <c r="J57" s="66" t="s">
        <v>5</v>
      </c>
      <c r="K57" s="66">
        <v>3</v>
      </c>
      <c r="L57" s="66" t="s">
        <v>4</v>
      </c>
      <c r="M57" s="67">
        <f>M58</f>
        <v>440825.3</v>
      </c>
      <c r="N57" s="67">
        <f>N58</f>
        <v>0</v>
      </c>
      <c r="O57" s="67">
        <f>O58</f>
        <v>440825.3</v>
      </c>
      <c r="P57" s="67">
        <v>440825.3</v>
      </c>
      <c r="Q57" s="67">
        <f>Q58</f>
        <v>1973.2</v>
      </c>
      <c r="R57" s="67">
        <f>R58</f>
        <v>442798.5</v>
      </c>
      <c r="S57" s="67">
        <v>445696.5</v>
      </c>
      <c r="T57" s="67">
        <f>SUM(T58)</f>
        <v>33454.800000000003</v>
      </c>
      <c r="U57" s="67">
        <f t="shared" si="13"/>
        <v>479151.3</v>
      </c>
      <c r="V57" s="68" t="s">
        <v>429</v>
      </c>
      <c r="W57" s="1"/>
    </row>
    <row r="58" spans="1:23" ht="89.25" hidden="1" customHeight="1" outlineLevel="1" x14ac:dyDescent="0.25">
      <c r="A58" s="41"/>
      <c r="B58" s="34"/>
      <c r="C58" s="42"/>
      <c r="D58" s="12"/>
      <c r="E58" s="155" t="s">
        <v>204</v>
      </c>
      <c r="F58" s="155"/>
      <c r="G58" s="155"/>
      <c r="H58" s="155"/>
      <c r="I58" s="13" t="s">
        <v>137</v>
      </c>
      <c r="J58" s="5" t="s">
        <v>5</v>
      </c>
      <c r="K58" s="5" t="s">
        <v>27</v>
      </c>
      <c r="L58" s="5" t="s">
        <v>13</v>
      </c>
      <c r="M58" s="17">
        <v>440825.3</v>
      </c>
      <c r="N58" s="17"/>
      <c r="O58" s="17">
        <f t="shared" si="14"/>
        <v>440825.3</v>
      </c>
      <c r="P58" s="17">
        <v>440825.3</v>
      </c>
      <c r="Q58" s="17">
        <v>1973.2</v>
      </c>
      <c r="R58" s="17">
        <f>SUM(P58:Q58)</f>
        <v>442798.5</v>
      </c>
      <c r="S58" s="17">
        <v>445696.5</v>
      </c>
      <c r="T58" s="17">
        <f>10770.7+8.9+22675.2</f>
        <v>33454.800000000003</v>
      </c>
      <c r="U58" s="17">
        <f t="shared" si="13"/>
        <v>479151.3</v>
      </c>
      <c r="V58" s="8" t="s">
        <v>416</v>
      </c>
      <c r="W58" s="1"/>
    </row>
    <row r="59" spans="1:23" ht="40.5" customHeight="1" collapsed="1" x14ac:dyDescent="0.25">
      <c r="A59" s="41"/>
      <c r="B59" s="1"/>
      <c r="D59" s="162" t="s">
        <v>322</v>
      </c>
      <c r="E59" s="163"/>
      <c r="F59" s="163"/>
      <c r="G59" s="163"/>
      <c r="H59" s="164"/>
      <c r="I59" s="53" t="s">
        <v>136</v>
      </c>
      <c r="J59" s="54" t="s">
        <v>1</v>
      </c>
      <c r="K59" s="54" t="s">
        <v>4</v>
      </c>
      <c r="L59" s="54" t="s">
        <v>4</v>
      </c>
      <c r="M59" s="56">
        <f>M60</f>
        <v>150</v>
      </c>
      <c r="N59" s="56">
        <f>N60</f>
        <v>0</v>
      </c>
      <c r="O59" s="55">
        <f>SUM(M59:N59)</f>
        <v>150</v>
      </c>
      <c r="P59" s="56">
        <f>P60</f>
        <v>150</v>
      </c>
      <c r="Q59" s="56">
        <f>Q60</f>
        <v>27.5</v>
      </c>
      <c r="R59" s="55">
        <f>SUM(P59:Q59)</f>
        <v>177.5</v>
      </c>
      <c r="S59" s="55">
        <v>227.5</v>
      </c>
      <c r="T59" s="55">
        <f>SUM(T60)</f>
        <v>0</v>
      </c>
      <c r="U59" s="55">
        <f t="shared" ref="U59:U64" si="16">SUM(S59:T59)</f>
        <v>227.5</v>
      </c>
      <c r="V59" s="57"/>
      <c r="W59" s="1"/>
    </row>
    <row r="60" spans="1:23" ht="36" hidden="1" customHeight="1" outlineLevel="1" x14ac:dyDescent="0.25">
      <c r="A60" s="41"/>
      <c r="B60" s="34"/>
      <c r="C60" s="42"/>
      <c r="D60" s="12"/>
      <c r="E60" s="156" t="s">
        <v>205</v>
      </c>
      <c r="F60" s="155"/>
      <c r="G60" s="155"/>
      <c r="H60" s="155"/>
      <c r="I60" s="13" t="s">
        <v>136</v>
      </c>
      <c r="J60" s="5" t="s">
        <v>1</v>
      </c>
      <c r="K60" s="5" t="s">
        <v>2</v>
      </c>
      <c r="L60" s="5" t="s">
        <v>13</v>
      </c>
      <c r="M60" s="17">
        <v>150</v>
      </c>
      <c r="N60" s="17"/>
      <c r="O60" s="17">
        <f t="shared" si="14"/>
        <v>150</v>
      </c>
      <c r="P60" s="17">
        <v>150</v>
      </c>
      <c r="Q60" s="17">
        <v>27.5</v>
      </c>
      <c r="R60" s="17">
        <f>SUM(P60:Q60)</f>
        <v>177.5</v>
      </c>
      <c r="S60" s="17">
        <v>227.5</v>
      </c>
      <c r="T60" s="17"/>
      <c r="U60" s="97">
        <f t="shared" si="16"/>
        <v>227.5</v>
      </c>
      <c r="V60" s="8"/>
      <c r="W60" s="1"/>
    </row>
    <row r="61" spans="1:23" ht="90" customHeight="1" collapsed="1" x14ac:dyDescent="0.25">
      <c r="A61" s="41"/>
      <c r="B61" s="1"/>
      <c r="D61" s="162" t="s">
        <v>299</v>
      </c>
      <c r="E61" s="163"/>
      <c r="F61" s="163"/>
      <c r="G61" s="163"/>
      <c r="H61" s="164"/>
      <c r="I61" s="53" t="s">
        <v>135</v>
      </c>
      <c r="J61" s="54" t="s">
        <v>134</v>
      </c>
      <c r="K61" s="54" t="s">
        <v>4</v>
      </c>
      <c r="L61" s="54" t="s">
        <v>4</v>
      </c>
      <c r="M61" s="56">
        <f>M62</f>
        <v>22049.200000000001</v>
      </c>
      <c r="N61" s="56">
        <f>N62</f>
        <v>0</v>
      </c>
      <c r="O61" s="55">
        <f>SUM(M61:N61)</f>
        <v>22049.200000000001</v>
      </c>
      <c r="P61" s="56">
        <f>P62</f>
        <v>22049.200000000001</v>
      </c>
      <c r="Q61" s="56">
        <f>Q62</f>
        <v>594.5</v>
      </c>
      <c r="R61" s="55">
        <f>SUM(P61:Q61)</f>
        <v>22643.7</v>
      </c>
      <c r="S61" s="55">
        <v>23573.7</v>
      </c>
      <c r="T61" s="55">
        <f>SUM(T62)</f>
        <v>2126</v>
      </c>
      <c r="U61" s="55">
        <f t="shared" si="16"/>
        <v>25699.7</v>
      </c>
      <c r="V61" s="83" t="s">
        <v>417</v>
      </c>
      <c r="W61" s="1"/>
    </row>
    <row r="62" spans="1:23" ht="84.75" hidden="1" customHeight="1" outlineLevel="1" x14ac:dyDescent="0.25">
      <c r="A62" s="41"/>
      <c r="B62" s="34"/>
      <c r="C62" s="42"/>
      <c r="D62" s="12"/>
      <c r="E62" s="155" t="s">
        <v>378</v>
      </c>
      <c r="F62" s="155"/>
      <c r="G62" s="155"/>
      <c r="H62" s="155"/>
      <c r="I62" s="13" t="s">
        <v>135</v>
      </c>
      <c r="J62" s="5" t="s">
        <v>134</v>
      </c>
      <c r="K62" s="5" t="s">
        <v>2</v>
      </c>
      <c r="L62" s="5" t="s">
        <v>13</v>
      </c>
      <c r="M62" s="17">
        <v>22049.200000000001</v>
      </c>
      <c r="N62" s="17"/>
      <c r="O62" s="17">
        <f t="shared" si="14"/>
        <v>22049.200000000001</v>
      </c>
      <c r="P62" s="17">
        <v>22049.200000000001</v>
      </c>
      <c r="Q62" s="17">
        <v>594.5</v>
      </c>
      <c r="R62" s="17">
        <f>SUM(P62:Q62)</f>
        <v>22643.7</v>
      </c>
      <c r="S62" s="17">
        <v>23573.7</v>
      </c>
      <c r="T62" s="17">
        <f>541+300+1285</f>
        <v>2126</v>
      </c>
      <c r="U62" s="97">
        <f t="shared" si="16"/>
        <v>25699.7</v>
      </c>
      <c r="V62" s="74" t="s">
        <v>417</v>
      </c>
      <c r="W62" s="1"/>
    </row>
    <row r="63" spans="1:23" ht="42" customHeight="1" collapsed="1" x14ac:dyDescent="0.25">
      <c r="A63" s="41"/>
      <c r="B63" s="1"/>
      <c r="D63" s="162" t="s">
        <v>361</v>
      </c>
      <c r="E63" s="204"/>
      <c r="F63" s="204"/>
      <c r="G63" s="204"/>
      <c r="H63" s="205"/>
      <c r="I63" s="59" t="s">
        <v>133</v>
      </c>
      <c r="J63" s="60" t="s">
        <v>124</v>
      </c>
      <c r="K63" s="60" t="s">
        <v>4</v>
      </c>
      <c r="L63" s="60" t="s">
        <v>4</v>
      </c>
      <c r="M63" s="55">
        <f>M64+M69+M74</f>
        <v>256334.6</v>
      </c>
      <c r="N63" s="55">
        <f>N64+N69+N74</f>
        <v>3393.2</v>
      </c>
      <c r="O63" s="55">
        <f>O64+O69+O74</f>
        <v>259727.80000000002</v>
      </c>
      <c r="P63" s="55">
        <v>259727.80000000002</v>
      </c>
      <c r="Q63" s="55">
        <f>Q64+Q69+Q74</f>
        <v>3038.5999999999995</v>
      </c>
      <c r="R63" s="55">
        <f>R64+R69+R74</f>
        <v>262766.40000000002</v>
      </c>
      <c r="S63" s="55">
        <v>266181</v>
      </c>
      <c r="T63" s="55">
        <f>SUM(T64+T69+T74)</f>
        <v>18901.2</v>
      </c>
      <c r="U63" s="55">
        <f t="shared" si="16"/>
        <v>285082.2</v>
      </c>
      <c r="V63" s="57"/>
      <c r="W63" s="1"/>
    </row>
    <row r="64" spans="1:23" ht="68.25" customHeight="1" x14ac:dyDescent="0.25">
      <c r="A64" s="41"/>
      <c r="B64" s="34"/>
      <c r="C64" s="42"/>
      <c r="D64" s="153" t="s">
        <v>206</v>
      </c>
      <c r="E64" s="154"/>
      <c r="F64" s="154"/>
      <c r="G64" s="154"/>
      <c r="H64" s="154"/>
      <c r="I64" s="65" t="s">
        <v>132</v>
      </c>
      <c r="J64" s="66" t="s">
        <v>124</v>
      </c>
      <c r="K64" s="66">
        <v>1</v>
      </c>
      <c r="L64" s="66" t="s">
        <v>4</v>
      </c>
      <c r="M64" s="67">
        <f>M65+M66+M67+M68</f>
        <v>243479.7</v>
      </c>
      <c r="N64" s="67">
        <f>N65+N66+N67+N68</f>
        <v>2393.1999999999998</v>
      </c>
      <c r="O64" s="67">
        <f>SUM(M64:N64)</f>
        <v>245872.90000000002</v>
      </c>
      <c r="P64" s="67">
        <v>245872.90000000002</v>
      </c>
      <c r="Q64" s="67">
        <f>Q65+Q66+Q67+Q68</f>
        <v>1677.2999999999995</v>
      </c>
      <c r="R64" s="67">
        <f>SUM(P64:Q64)</f>
        <v>247550.2</v>
      </c>
      <c r="S64" s="67">
        <v>251911.40000000002</v>
      </c>
      <c r="T64" s="67">
        <f>SUM(T65+T66+T67+T68)</f>
        <v>19115.900000000001</v>
      </c>
      <c r="U64" s="67">
        <f t="shared" si="16"/>
        <v>271027.30000000005</v>
      </c>
      <c r="V64" s="68" t="s">
        <v>435</v>
      </c>
      <c r="W64" s="1"/>
    </row>
    <row r="65" spans="1:23" ht="38.25" hidden="1" customHeight="1" outlineLevel="1" x14ac:dyDescent="0.25">
      <c r="A65" s="41"/>
      <c r="B65" s="34"/>
      <c r="C65" s="42"/>
      <c r="D65" s="12"/>
      <c r="E65" s="155" t="s">
        <v>207</v>
      </c>
      <c r="F65" s="155"/>
      <c r="G65" s="155"/>
      <c r="H65" s="155"/>
      <c r="I65" s="13" t="s">
        <v>131</v>
      </c>
      <c r="J65" s="5" t="s">
        <v>124</v>
      </c>
      <c r="K65" s="5" t="s">
        <v>23</v>
      </c>
      <c r="L65" s="5" t="s">
        <v>13</v>
      </c>
      <c r="M65" s="17">
        <v>200</v>
      </c>
      <c r="N65" s="17"/>
      <c r="O65" s="17">
        <f t="shared" ref="O65:O80" si="17">SUM(M65:N65)</f>
        <v>200</v>
      </c>
      <c r="P65" s="17">
        <v>200</v>
      </c>
      <c r="Q65" s="17"/>
      <c r="R65" s="17">
        <f>SUM(P65:Q65)</f>
        <v>200</v>
      </c>
      <c r="S65" s="17">
        <v>200</v>
      </c>
      <c r="T65" s="17"/>
      <c r="U65" s="17">
        <f t="shared" ref="U65:U76" si="18">SUM(S65:T65)</f>
        <v>200</v>
      </c>
      <c r="V65" s="8"/>
      <c r="W65" s="1"/>
    </row>
    <row r="66" spans="1:23" ht="36" hidden="1" customHeight="1" outlineLevel="1" x14ac:dyDescent="0.25">
      <c r="A66" s="41"/>
      <c r="B66" s="34"/>
      <c r="C66" s="42"/>
      <c r="D66" s="12"/>
      <c r="E66" s="155" t="s">
        <v>208</v>
      </c>
      <c r="F66" s="155"/>
      <c r="G66" s="155"/>
      <c r="H66" s="155"/>
      <c r="I66" s="13" t="s">
        <v>130</v>
      </c>
      <c r="J66" s="5" t="s">
        <v>124</v>
      </c>
      <c r="K66" s="5" t="s">
        <v>23</v>
      </c>
      <c r="L66" s="5" t="s">
        <v>11</v>
      </c>
      <c r="M66" s="17">
        <v>200</v>
      </c>
      <c r="N66" s="17"/>
      <c r="O66" s="17">
        <f t="shared" si="17"/>
        <v>200</v>
      </c>
      <c r="P66" s="17">
        <v>200</v>
      </c>
      <c r="Q66" s="17"/>
      <c r="R66" s="17">
        <f>SUM(P66:Q66)</f>
        <v>200</v>
      </c>
      <c r="S66" s="17">
        <v>200</v>
      </c>
      <c r="T66" s="17"/>
      <c r="U66" s="17">
        <f t="shared" si="18"/>
        <v>200</v>
      </c>
      <c r="V66" s="8"/>
      <c r="W66" s="1"/>
    </row>
    <row r="67" spans="1:23" ht="75.75" hidden="1" customHeight="1" outlineLevel="1" x14ac:dyDescent="0.25">
      <c r="A67" s="41"/>
      <c r="B67" s="34"/>
      <c r="C67" s="42"/>
      <c r="D67" s="12"/>
      <c r="E67" s="155" t="s">
        <v>209</v>
      </c>
      <c r="F67" s="155"/>
      <c r="G67" s="155"/>
      <c r="H67" s="155"/>
      <c r="I67" s="13" t="s">
        <v>129</v>
      </c>
      <c r="J67" s="5" t="s">
        <v>124</v>
      </c>
      <c r="K67" s="5" t="s">
        <v>23</v>
      </c>
      <c r="L67" s="5" t="s">
        <v>10</v>
      </c>
      <c r="M67" s="17">
        <v>2250</v>
      </c>
      <c r="N67" s="17">
        <f>1460.2+933</f>
        <v>2393.1999999999998</v>
      </c>
      <c r="O67" s="17">
        <f t="shared" si="17"/>
        <v>4643.2</v>
      </c>
      <c r="P67" s="17">
        <v>4643.2</v>
      </c>
      <c r="Q67" s="17">
        <f>-1161.3+2300</f>
        <v>1138.7</v>
      </c>
      <c r="R67" s="17">
        <f>SUM(P67:Q67)</f>
        <v>5781.9</v>
      </c>
      <c r="S67" s="17">
        <v>6059.4</v>
      </c>
      <c r="T67" s="17"/>
      <c r="U67" s="17">
        <f t="shared" si="18"/>
        <v>6059.4</v>
      </c>
      <c r="V67" s="8"/>
      <c r="W67" s="1"/>
    </row>
    <row r="68" spans="1:23" ht="125.25" hidden="1" customHeight="1" outlineLevel="1" x14ac:dyDescent="0.25">
      <c r="A68" s="41"/>
      <c r="B68" s="34"/>
      <c r="C68" s="42"/>
      <c r="D68" s="12"/>
      <c r="E68" s="155" t="s">
        <v>210</v>
      </c>
      <c r="F68" s="155"/>
      <c r="G68" s="155"/>
      <c r="H68" s="155"/>
      <c r="I68" s="13" t="s">
        <v>128</v>
      </c>
      <c r="J68" s="5" t="s">
        <v>124</v>
      </c>
      <c r="K68" s="5" t="s">
        <v>23</v>
      </c>
      <c r="L68" s="5" t="s">
        <v>7</v>
      </c>
      <c r="M68" s="17">
        <v>240829.7</v>
      </c>
      <c r="N68" s="17"/>
      <c r="O68" s="17">
        <f t="shared" si="17"/>
        <v>240829.7</v>
      </c>
      <c r="P68" s="17">
        <v>240829.7</v>
      </c>
      <c r="Q68" s="17">
        <f>-1524.3+4362.9-2300</f>
        <v>538.59999999999945</v>
      </c>
      <c r="R68" s="17">
        <f>SUM(P68:Q68)</f>
        <v>241368.30000000002</v>
      </c>
      <c r="S68" s="17">
        <v>245452.00000000003</v>
      </c>
      <c r="T68" s="17">
        <f>5102.9+14013</f>
        <v>19115.900000000001</v>
      </c>
      <c r="U68" s="17">
        <f t="shared" si="18"/>
        <v>264567.90000000002</v>
      </c>
      <c r="V68" s="8" t="s">
        <v>411</v>
      </c>
      <c r="W68" s="1"/>
    </row>
    <row r="69" spans="1:23" ht="69.75" customHeight="1" collapsed="1" x14ac:dyDescent="0.25">
      <c r="A69" s="41"/>
      <c r="B69" s="34"/>
      <c r="C69" s="42"/>
      <c r="D69" s="153" t="s">
        <v>211</v>
      </c>
      <c r="E69" s="154"/>
      <c r="F69" s="154"/>
      <c r="G69" s="154"/>
      <c r="H69" s="154"/>
      <c r="I69" s="65" t="s">
        <v>127</v>
      </c>
      <c r="J69" s="66" t="s">
        <v>124</v>
      </c>
      <c r="K69" s="66" t="s">
        <v>18</v>
      </c>
      <c r="L69" s="66" t="s">
        <v>4</v>
      </c>
      <c r="M69" s="67">
        <f>M70+M71+M72+M73</f>
        <v>12854.900000000001</v>
      </c>
      <c r="N69" s="67">
        <f>N70+N71+N72+N73</f>
        <v>1000</v>
      </c>
      <c r="O69" s="67">
        <f>O70+O71+O72+O73</f>
        <v>13854.900000000001</v>
      </c>
      <c r="P69" s="67">
        <v>13854.900000000001</v>
      </c>
      <c r="Q69" s="67">
        <f>Q70+Q71+Q72+Q73</f>
        <v>1361.3</v>
      </c>
      <c r="R69" s="67">
        <f>R70+R71+R72+R73</f>
        <v>15216.2</v>
      </c>
      <c r="S69" s="67">
        <v>14269.6</v>
      </c>
      <c r="T69" s="67">
        <f>SUM(T70+T71+T72+T73)</f>
        <v>-214.7</v>
      </c>
      <c r="U69" s="67">
        <f t="shared" si="18"/>
        <v>14054.9</v>
      </c>
      <c r="V69" s="68" t="s">
        <v>453</v>
      </c>
      <c r="W69" s="1"/>
    </row>
    <row r="70" spans="1:23" ht="50.25" hidden="1" customHeight="1" outlineLevel="1" x14ac:dyDescent="0.25">
      <c r="A70" s="41"/>
      <c r="B70" s="34"/>
      <c r="C70" s="42"/>
      <c r="D70" s="12"/>
      <c r="E70" s="155" t="s">
        <v>376</v>
      </c>
      <c r="F70" s="155"/>
      <c r="G70" s="155"/>
      <c r="H70" s="155"/>
      <c r="I70" s="13" t="s">
        <v>126</v>
      </c>
      <c r="J70" s="5" t="s">
        <v>124</v>
      </c>
      <c r="K70" s="5" t="s">
        <v>18</v>
      </c>
      <c r="L70" s="5" t="s">
        <v>13</v>
      </c>
      <c r="M70" s="17">
        <v>7246.6</v>
      </c>
      <c r="N70" s="17"/>
      <c r="O70" s="17">
        <f t="shared" si="17"/>
        <v>7246.6</v>
      </c>
      <c r="P70" s="17">
        <v>7246.6</v>
      </c>
      <c r="Q70" s="17">
        <f>200</f>
        <v>200</v>
      </c>
      <c r="R70" s="17">
        <f>SUM(P70:Q70)</f>
        <v>7446.6</v>
      </c>
      <c r="S70" s="17">
        <v>7446.6</v>
      </c>
      <c r="T70" s="17">
        <f>0.1</f>
        <v>0.1</v>
      </c>
      <c r="U70" s="17">
        <f t="shared" si="18"/>
        <v>7446.7000000000007</v>
      </c>
      <c r="V70" s="8" t="s">
        <v>423</v>
      </c>
      <c r="W70" s="1"/>
    </row>
    <row r="71" spans="1:23" ht="78.75" hidden="1" customHeight="1" outlineLevel="1" x14ac:dyDescent="0.25">
      <c r="A71" s="41"/>
      <c r="B71" s="34"/>
      <c r="C71" s="42"/>
      <c r="D71" s="12"/>
      <c r="E71" s="155" t="s">
        <v>212</v>
      </c>
      <c r="F71" s="155"/>
      <c r="G71" s="155"/>
      <c r="H71" s="155"/>
      <c r="I71" s="13" t="s">
        <v>125</v>
      </c>
      <c r="J71" s="5" t="s">
        <v>124</v>
      </c>
      <c r="K71" s="5" t="s">
        <v>18</v>
      </c>
      <c r="L71" s="5" t="s">
        <v>26</v>
      </c>
      <c r="M71" s="17">
        <v>4385.8</v>
      </c>
      <c r="N71" s="17">
        <f>1000</f>
        <v>1000</v>
      </c>
      <c r="O71" s="17">
        <f t="shared" si="17"/>
        <v>5385.8</v>
      </c>
      <c r="P71" s="17">
        <v>5385.8</v>
      </c>
      <c r="Q71" s="17"/>
      <c r="R71" s="17">
        <f>SUM(P71:Q71)</f>
        <v>5385.8</v>
      </c>
      <c r="S71" s="17">
        <v>5385.8</v>
      </c>
      <c r="T71" s="17">
        <f>-0.1</f>
        <v>-0.1</v>
      </c>
      <c r="U71" s="17">
        <f t="shared" si="18"/>
        <v>5385.7</v>
      </c>
      <c r="V71" s="8" t="s">
        <v>424</v>
      </c>
      <c r="W71" s="1"/>
    </row>
    <row r="72" spans="1:23" ht="46.5" hidden="1" customHeight="1" outlineLevel="1" x14ac:dyDescent="0.25">
      <c r="A72" s="41"/>
      <c r="B72" s="1"/>
      <c r="C72" s="43"/>
      <c r="D72" s="12"/>
      <c r="E72" s="155" t="s">
        <v>341</v>
      </c>
      <c r="F72" s="155"/>
      <c r="G72" s="155"/>
      <c r="H72" s="155"/>
      <c r="I72" s="13">
        <v>920400000</v>
      </c>
      <c r="J72" s="5" t="s">
        <v>124</v>
      </c>
      <c r="K72" s="5" t="s">
        <v>18</v>
      </c>
      <c r="L72" s="9" t="s">
        <v>10</v>
      </c>
      <c r="M72" s="17">
        <v>1222.5</v>
      </c>
      <c r="N72" s="17">
        <f>-1222.5</f>
        <v>-1222.5</v>
      </c>
      <c r="O72" s="17">
        <f>SUM(M72:N72)</f>
        <v>0</v>
      </c>
      <c r="P72" s="17">
        <v>0</v>
      </c>
      <c r="Q72" s="17"/>
      <c r="R72" s="17">
        <f>SUM(P72:Q72)</f>
        <v>0</v>
      </c>
      <c r="S72" s="17">
        <v>214.7</v>
      </c>
      <c r="T72" s="17">
        <v>-214.7</v>
      </c>
      <c r="U72" s="17">
        <f t="shared" si="18"/>
        <v>0</v>
      </c>
      <c r="V72" s="8" t="s">
        <v>453</v>
      </c>
      <c r="W72" s="1"/>
    </row>
    <row r="73" spans="1:23" ht="47.25" hidden="1" customHeight="1" outlineLevel="1" x14ac:dyDescent="0.25">
      <c r="A73" s="41"/>
      <c r="B73" s="1"/>
      <c r="C73" s="43"/>
      <c r="D73" s="12"/>
      <c r="E73" s="155" t="s">
        <v>348</v>
      </c>
      <c r="F73" s="155"/>
      <c r="G73" s="155"/>
      <c r="H73" s="155"/>
      <c r="I73" s="13">
        <v>920400000</v>
      </c>
      <c r="J73" s="5" t="s">
        <v>124</v>
      </c>
      <c r="K73" s="5" t="s">
        <v>18</v>
      </c>
      <c r="L73" s="9" t="s">
        <v>7</v>
      </c>
      <c r="M73" s="17">
        <v>0</v>
      </c>
      <c r="N73" s="17">
        <v>1222.5</v>
      </c>
      <c r="O73" s="17">
        <f t="shared" si="17"/>
        <v>1222.5</v>
      </c>
      <c r="P73" s="17">
        <v>1222.5</v>
      </c>
      <c r="Q73" s="17">
        <f>1161.3</f>
        <v>1161.3</v>
      </c>
      <c r="R73" s="17">
        <f>SUM(P73:Q73)</f>
        <v>2383.8000000000002</v>
      </c>
      <c r="S73" s="17">
        <v>1222.5000000000002</v>
      </c>
      <c r="T73" s="17"/>
      <c r="U73" s="17">
        <f t="shared" si="18"/>
        <v>1222.5000000000002</v>
      </c>
      <c r="V73" s="8"/>
      <c r="W73" s="1"/>
    </row>
    <row r="74" spans="1:23" ht="30.75" customHeight="1" collapsed="1" x14ac:dyDescent="0.25">
      <c r="A74" s="41"/>
      <c r="B74" s="1"/>
      <c r="C74" s="43"/>
      <c r="D74" s="12"/>
      <c r="E74" s="153" t="s">
        <v>365</v>
      </c>
      <c r="F74" s="154"/>
      <c r="G74" s="154"/>
      <c r="H74" s="154"/>
      <c r="I74" s="154"/>
      <c r="J74" s="66" t="s">
        <v>124</v>
      </c>
      <c r="K74" s="66">
        <v>3</v>
      </c>
      <c r="L74" s="69"/>
      <c r="M74" s="67">
        <f>SUM(M75+M76)</f>
        <v>0</v>
      </c>
      <c r="N74" s="67">
        <f>SUM(N75+N76)</f>
        <v>0</v>
      </c>
      <c r="O74" s="67">
        <f>SUM(O75+O76)</f>
        <v>0</v>
      </c>
      <c r="P74" s="67">
        <v>0</v>
      </c>
      <c r="Q74" s="67">
        <f>SUM(Q75+Q76)</f>
        <v>0</v>
      </c>
      <c r="R74" s="67">
        <f>SUM(R75+R76)</f>
        <v>0</v>
      </c>
      <c r="S74" s="67">
        <v>0</v>
      </c>
      <c r="T74" s="67">
        <f>SUM(T75+T76)</f>
        <v>0</v>
      </c>
      <c r="U74" s="67">
        <f t="shared" si="18"/>
        <v>0</v>
      </c>
      <c r="V74" s="68"/>
      <c r="W74" s="1"/>
    </row>
    <row r="75" spans="1:23" ht="47.25" hidden="1" customHeight="1" outlineLevel="1" x14ac:dyDescent="0.25">
      <c r="A75" s="41"/>
      <c r="B75" s="1"/>
      <c r="C75" s="43"/>
      <c r="D75" s="12"/>
      <c r="E75" s="155" t="s">
        <v>363</v>
      </c>
      <c r="F75" s="155"/>
      <c r="G75" s="155"/>
      <c r="H75" s="155"/>
      <c r="I75" s="14"/>
      <c r="J75" s="6" t="s">
        <v>124</v>
      </c>
      <c r="K75" s="6">
        <v>3</v>
      </c>
      <c r="L75" s="6" t="s">
        <v>13</v>
      </c>
      <c r="M75" s="16">
        <v>0</v>
      </c>
      <c r="N75" s="16"/>
      <c r="O75" s="17">
        <f t="shared" si="17"/>
        <v>0</v>
      </c>
      <c r="P75" s="17">
        <v>0</v>
      </c>
      <c r="Q75" s="16"/>
      <c r="R75" s="17">
        <f t="shared" ref="R75:R87" si="19">SUM(P75:Q75)</f>
        <v>0</v>
      </c>
      <c r="S75" s="17">
        <v>0</v>
      </c>
      <c r="T75" s="17"/>
      <c r="U75" s="17">
        <f t="shared" si="18"/>
        <v>0</v>
      </c>
      <c r="V75" s="8"/>
      <c r="W75" s="1"/>
    </row>
    <row r="76" spans="1:23" ht="47.25" hidden="1" customHeight="1" outlineLevel="1" x14ac:dyDescent="0.25">
      <c r="A76" s="41"/>
      <c r="B76" s="1"/>
      <c r="C76" s="43"/>
      <c r="D76" s="12"/>
      <c r="E76" s="155" t="s">
        <v>364</v>
      </c>
      <c r="F76" s="155"/>
      <c r="G76" s="155"/>
      <c r="H76" s="155"/>
      <c r="I76" s="14"/>
      <c r="J76" s="6">
        <v>9</v>
      </c>
      <c r="K76" s="6">
        <v>3</v>
      </c>
      <c r="L76" s="80" t="s">
        <v>13</v>
      </c>
      <c r="M76" s="16">
        <v>0</v>
      </c>
      <c r="N76" s="16"/>
      <c r="O76" s="17">
        <f t="shared" si="17"/>
        <v>0</v>
      </c>
      <c r="P76" s="17">
        <v>0</v>
      </c>
      <c r="Q76" s="16"/>
      <c r="R76" s="17">
        <f t="shared" si="19"/>
        <v>0</v>
      </c>
      <c r="S76" s="17">
        <v>0</v>
      </c>
      <c r="T76" s="17"/>
      <c r="U76" s="17">
        <f t="shared" si="18"/>
        <v>0</v>
      </c>
      <c r="V76" s="8"/>
      <c r="W76" s="1"/>
    </row>
    <row r="77" spans="1:23" ht="51" customHeight="1" collapsed="1" x14ac:dyDescent="0.25">
      <c r="A77" s="41"/>
      <c r="B77" s="1"/>
      <c r="D77" s="162" t="s">
        <v>312</v>
      </c>
      <c r="E77" s="163"/>
      <c r="F77" s="163"/>
      <c r="G77" s="163"/>
      <c r="H77" s="164"/>
      <c r="I77" s="53" t="s">
        <v>123</v>
      </c>
      <c r="J77" s="54" t="s">
        <v>120</v>
      </c>
      <c r="K77" s="54" t="s">
        <v>4</v>
      </c>
      <c r="L77" s="54" t="s">
        <v>4</v>
      </c>
      <c r="M77" s="56">
        <f>M78+M79+M80</f>
        <v>10000</v>
      </c>
      <c r="N77" s="56">
        <f>N78+N79+N80</f>
        <v>-219.8</v>
      </c>
      <c r="O77" s="55">
        <f>SUM(M77:N77)</f>
        <v>9780.2000000000007</v>
      </c>
      <c r="P77" s="56">
        <f>P78+P79+P80</f>
        <v>9930.2000000000007</v>
      </c>
      <c r="Q77" s="56">
        <f>Q78+Q79+Q80</f>
        <v>-370.1</v>
      </c>
      <c r="R77" s="55">
        <f t="shared" si="19"/>
        <v>9560.1</v>
      </c>
      <c r="S77" s="55">
        <v>20037.400000000001</v>
      </c>
      <c r="T77" s="55">
        <f>SUM(T78+T79+T80)</f>
        <v>-2485.3000000000002</v>
      </c>
      <c r="U77" s="55">
        <f t="shared" ref="U77:U82" si="20">SUM(S77:T77)</f>
        <v>17552.100000000002</v>
      </c>
      <c r="V77" s="57" t="s">
        <v>452</v>
      </c>
      <c r="W77" s="1"/>
    </row>
    <row r="78" spans="1:23" ht="34.5" hidden="1" customHeight="1" outlineLevel="1" x14ac:dyDescent="0.25">
      <c r="A78" s="41"/>
      <c r="B78" s="34"/>
      <c r="C78" s="42"/>
      <c r="D78" s="12"/>
      <c r="E78" s="189" t="s">
        <v>213</v>
      </c>
      <c r="F78" s="181"/>
      <c r="G78" s="181"/>
      <c r="H78" s="182"/>
      <c r="I78" s="13" t="s">
        <v>122</v>
      </c>
      <c r="J78" s="5" t="s">
        <v>120</v>
      </c>
      <c r="K78" s="5" t="s">
        <v>2</v>
      </c>
      <c r="L78" s="5" t="s">
        <v>13</v>
      </c>
      <c r="M78" s="17">
        <v>0</v>
      </c>
      <c r="N78" s="17"/>
      <c r="O78" s="17">
        <f t="shared" si="17"/>
        <v>0</v>
      </c>
      <c r="P78" s="17">
        <v>0</v>
      </c>
      <c r="Q78" s="17"/>
      <c r="R78" s="17">
        <f t="shared" si="19"/>
        <v>0</v>
      </c>
      <c r="S78" s="17">
        <v>0</v>
      </c>
      <c r="T78" s="17"/>
      <c r="U78" s="97">
        <f t="shared" si="20"/>
        <v>0</v>
      </c>
      <c r="V78" s="8"/>
      <c r="W78" s="1"/>
    </row>
    <row r="79" spans="1:23" ht="51.75" hidden="1" customHeight="1" outlineLevel="1" x14ac:dyDescent="0.25">
      <c r="A79" s="41"/>
      <c r="B79" s="34"/>
      <c r="C79" s="42"/>
      <c r="D79" s="12"/>
      <c r="E79" s="155" t="s">
        <v>214</v>
      </c>
      <c r="F79" s="155"/>
      <c r="G79" s="155"/>
      <c r="H79" s="155"/>
      <c r="I79" s="13" t="s">
        <v>121</v>
      </c>
      <c r="J79" s="5">
        <v>10</v>
      </c>
      <c r="K79" s="5" t="s">
        <v>2</v>
      </c>
      <c r="L79" s="5" t="s">
        <v>11</v>
      </c>
      <c r="M79" s="17">
        <v>9300</v>
      </c>
      <c r="N79" s="17">
        <f>-219.8</f>
        <v>-219.8</v>
      </c>
      <c r="O79" s="17">
        <f t="shared" si="17"/>
        <v>9080.2000000000007</v>
      </c>
      <c r="P79" s="17">
        <f>9080.2+150</f>
        <v>9230.2000000000007</v>
      </c>
      <c r="Q79" s="17">
        <f>-355.1</f>
        <v>-355.1</v>
      </c>
      <c r="R79" s="17">
        <f t="shared" si="19"/>
        <v>8875.1</v>
      </c>
      <c r="S79" s="17">
        <v>18776.599999999999</v>
      </c>
      <c r="T79" s="17">
        <v>-2700</v>
      </c>
      <c r="U79" s="97">
        <f t="shared" si="20"/>
        <v>16076.599999999999</v>
      </c>
      <c r="V79" s="8" t="s">
        <v>439</v>
      </c>
      <c r="W79" s="1"/>
    </row>
    <row r="80" spans="1:23" ht="45.75" hidden="1" customHeight="1" outlineLevel="1" x14ac:dyDescent="0.25">
      <c r="A80" s="41"/>
      <c r="B80" s="34"/>
      <c r="C80" s="42"/>
      <c r="D80" s="12"/>
      <c r="E80" s="156" t="s">
        <v>215</v>
      </c>
      <c r="F80" s="155"/>
      <c r="G80" s="155"/>
      <c r="H80" s="155"/>
      <c r="I80" s="13" t="s">
        <v>119</v>
      </c>
      <c r="J80" s="5" t="s">
        <v>120</v>
      </c>
      <c r="K80" s="5" t="s">
        <v>2</v>
      </c>
      <c r="L80" s="5" t="s">
        <v>26</v>
      </c>
      <c r="M80" s="17">
        <v>700</v>
      </c>
      <c r="N80" s="17"/>
      <c r="O80" s="17">
        <f t="shared" si="17"/>
        <v>700</v>
      </c>
      <c r="P80" s="17">
        <v>700</v>
      </c>
      <c r="Q80" s="17">
        <v>-15</v>
      </c>
      <c r="R80" s="17">
        <f t="shared" si="19"/>
        <v>685</v>
      </c>
      <c r="S80" s="17">
        <v>1260.8</v>
      </c>
      <c r="T80" s="17">
        <v>214.7</v>
      </c>
      <c r="U80" s="97">
        <f t="shared" si="20"/>
        <v>1475.5</v>
      </c>
      <c r="V80" s="8" t="s">
        <v>451</v>
      </c>
      <c r="W80" s="1"/>
    </row>
    <row r="81" spans="1:24" ht="33.75" customHeight="1" collapsed="1" x14ac:dyDescent="0.25">
      <c r="A81" s="41"/>
      <c r="B81" s="1"/>
      <c r="D81" s="162" t="s">
        <v>313</v>
      </c>
      <c r="E81" s="163"/>
      <c r="F81" s="163"/>
      <c r="G81" s="163"/>
      <c r="H81" s="164"/>
      <c r="I81" s="53" t="s">
        <v>118</v>
      </c>
      <c r="J81" s="54" t="s">
        <v>108</v>
      </c>
      <c r="K81" s="54" t="s">
        <v>4</v>
      </c>
      <c r="L81" s="54" t="s">
        <v>4</v>
      </c>
      <c r="M81" s="56">
        <f>SUM(M82+M84+M87+M92)</f>
        <v>821696.2</v>
      </c>
      <c r="N81" s="56">
        <f>SUM(N82+N84+N87+N92)</f>
        <v>11478.9</v>
      </c>
      <c r="O81" s="55">
        <f>SUM(M81:N81)</f>
        <v>833175.1</v>
      </c>
      <c r="P81" s="56">
        <v>833175.1</v>
      </c>
      <c r="Q81" s="56">
        <f>SUM(Q82+Q84+Q87+Q92)</f>
        <v>100217.4</v>
      </c>
      <c r="R81" s="55">
        <f t="shared" si="19"/>
        <v>933392.5</v>
      </c>
      <c r="S81" s="55">
        <v>940903.5</v>
      </c>
      <c r="T81" s="55">
        <f>SUM(T82+T84+T87+T92)</f>
        <v>205190.2</v>
      </c>
      <c r="U81" s="55">
        <f t="shared" si="20"/>
        <v>1146093.7</v>
      </c>
      <c r="V81" s="58"/>
      <c r="W81" s="1"/>
    </row>
    <row r="82" spans="1:24" ht="22.5" customHeight="1" x14ac:dyDescent="0.25">
      <c r="A82" s="41"/>
      <c r="B82" s="34"/>
      <c r="C82" s="42"/>
      <c r="D82" s="157" t="s">
        <v>216</v>
      </c>
      <c r="E82" s="154"/>
      <c r="F82" s="154"/>
      <c r="G82" s="154"/>
      <c r="H82" s="154"/>
      <c r="I82" s="65" t="s">
        <v>117</v>
      </c>
      <c r="J82" s="66" t="s">
        <v>108</v>
      </c>
      <c r="K82" s="66" t="s">
        <v>23</v>
      </c>
      <c r="L82" s="66" t="s">
        <v>4</v>
      </c>
      <c r="M82" s="67">
        <f>M83</f>
        <v>2070.6</v>
      </c>
      <c r="N82" s="67">
        <f>N83</f>
        <v>0</v>
      </c>
      <c r="O82" s="67">
        <f>SUM(M82:N82)</f>
        <v>2070.6</v>
      </c>
      <c r="P82" s="67">
        <v>2070.6</v>
      </c>
      <c r="Q82" s="67">
        <f>Q83</f>
        <v>453.5</v>
      </c>
      <c r="R82" s="67">
        <f t="shared" si="19"/>
        <v>2524.1</v>
      </c>
      <c r="S82" s="67">
        <v>2524.1</v>
      </c>
      <c r="T82" s="67">
        <f>SUM(T83)</f>
        <v>0</v>
      </c>
      <c r="U82" s="67">
        <f t="shared" si="20"/>
        <v>2524.1</v>
      </c>
      <c r="V82" s="71"/>
      <c r="W82" s="1"/>
    </row>
    <row r="83" spans="1:24" ht="55.5" hidden="1" customHeight="1" outlineLevel="1" x14ac:dyDescent="0.25">
      <c r="A83" s="41"/>
      <c r="B83" s="34"/>
      <c r="C83" s="42"/>
      <c r="D83" s="79"/>
      <c r="E83" s="206" t="s">
        <v>286</v>
      </c>
      <c r="F83" s="206"/>
      <c r="G83" s="206"/>
      <c r="H83" s="206"/>
      <c r="I83" s="13"/>
      <c r="J83" s="7" t="s">
        <v>108</v>
      </c>
      <c r="K83" s="7" t="s">
        <v>23</v>
      </c>
      <c r="L83" s="7" t="s">
        <v>13</v>
      </c>
      <c r="M83" s="17">
        <v>2070.6</v>
      </c>
      <c r="N83" s="17"/>
      <c r="O83" s="17">
        <f>SUM(M83:N83)</f>
        <v>2070.6</v>
      </c>
      <c r="P83" s="17">
        <v>2070.6</v>
      </c>
      <c r="Q83" s="17">
        <f>430.9+22.6</f>
        <v>453.5</v>
      </c>
      <c r="R83" s="17">
        <f t="shared" si="19"/>
        <v>2524.1</v>
      </c>
      <c r="S83" s="17">
        <v>2524.1</v>
      </c>
      <c r="T83" s="17"/>
      <c r="U83" s="17">
        <f t="shared" ref="U83:U93" si="21">SUM(S83:T83)</f>
        <v>2524.1</v>
      </c>
      <c r="V83" s="20"/>
      <c r="W83" s="1"/>
    </row>
    <row r="84" spans="1:24" ht="73.5" customHeight="1" collapsed="1" x14ac:dyDescent="0.25">
      <c r="A84" s="41"/>
      <c r="B84" s="34"/>
      <c r="C84" s="42"/>
      <c r="D84" s="157" t="s">
        <v>217</v>
      </c>
      <c r="E84" s="154"/>
      <c r="F84" s="154"/>
      <c r="G84" s="154"/>
      <c r="H84" s="154"/>
      <c r="I84" s="65" t="s">
        <v>116</v>
      </c>
      <c r="J84" s="66" t="s">
        <v>108</v>
      </c>
      <c r="K84" s="66" t="s">
        <v>18</v>
      </c>
      <c r="L84" s="66" t="s">
        <v>4</v>
      </c>
      <c r="M84" s="67">
        <f>M85+M86</f>
        <v>36372.5</v>
      </c>
      <c r="N84" s="67">
        <f>N85+N86</f>
        <v>0</v>
      </c>
      <c r="O84" s="67">
        <f>SUM(M84:N84)</f>
        <v>36372.5</v>
      </c>
      <c r="P84" s="67">
        <v>36372.5</v>
      </c>
      <c r="Q84" s="67">
        <f>Q85+Q86</f>
        <v>0</v>
      </c>
      <c r="R84" s="67">
        <f t="shared" si="19"/>
        <v>36372.5</v>
      </c>
      <c r="S84" s="67">
        <v>35098.5</v>
      </c>
      <c r="T84" s="67">
        <f>SUM(T85+T86)</f>
        <v>5190.2</v>
      </c>
      <c r="U84" s="67">
        <f t="shared" si="21"/>
        <v>40288.699999999997</v>
      </c>
      <c r="V84" s="68" t="s">
        <v>438</v>
      </c>
      <c r="W84" s="1"/>
    </row>
    <row r="85" spans="1:24" ht="77.25" hidden="1" customHeight="1" outlineLevel="1" x14ac:dyDescent="0.25">
      <c r="A85" s="41"/>
      <c r="B85" s="34"/>
      <c r="C85" s="42"/>
      <c r="D85" s="12"/>
      <c r="E85" s="156" t="s">
        <v>218</v>
      </c>
      <c r="F85" s="155"/>
      <c r="G85" s="155"/>
      <c r="H85" s="155"/>
      <c r="I85" s="13" t="s">
        <v>115</v>
      </c>
      <c r="J85" s="5" t="s">
        <v>108</v>
      </c>
      <c r="K85" s="5" t="s">
        <v>18</v>
      </c>
      <c r="L85" s="5" t="s">
        <v>13</v>
      </c>
      <c r="M85" s="17">
        <v>36360.300000000003</v>
      </c>
      <c r="N85" s="17"/>
      <c r="O85" s="17">
        <f t="shared" ref="O85:O98" si="22">SUM(M85:N85)</f>
        <v>36360.300000000003</v>
      </c>
      <c r="P85" s="17">
        <v>36360.300000000003</v>
      </c>
      <c r="Q85" s="17"/>
      <c r="R85" s="17">
        <f t="shared" si="19"/>
        <v>36360.300000000003</v>
      </c>
      <c r="S85" s="17">
        <v>35086.300000000003</v>
      </c>
      <c r="T85" s="17">
        <f>2490.2+2700</f>
        <v>5190.2</v>
      </c>
      <c r="U85" s="17">
        <f t="shared" si="21"/>
        <v>40276.5</v>
      </c>
      <c r="V85" s="8" t="s">
        <v>437</v>
      </c>
      <c r="W85" s="1"/>
    </row>
    <row r="86" spans="1:24" ht="84" hidden="1" customHeight="1" outlineLevel="1" x14ac:dyDescent="0.25">
      <c r="A86" s="41"/>
      <c r="B86" s="34"/>
      <c r="C86" s="42"/>
      <c r="D86" s="12"/>
      <c r="E86" s="156" t="s">
        <v>219</v>
      </c>
      <c r="F86" s="155"/>
      <c r="G86" s="155"/>
      <c r="H86" s="155"/>
      <c r="I86" s="13" t="s">
        <v>114</v>
      </c>
      <c r="J86" s="5" t="s">
        <v>108</v>
      </c>
      <c r="K86" s="5" t="s">
        <v>18</v>
      </c>
      <c r="L86" s="5" t="s">
        <v>11</v>
      </c>
      <c r="M86" s="17">
        <v>12.2</v>
      </c>
      <c r="N86" s="17"/>
      <c r="O86" s="17">
        <f t="shared" si="22"/>
        <v>12.2</v>
      </c>
      <c r="P86" s="17">
        <v>12.2</v>
      </c>
      <c r="Q86" s="17"/>
      <c r="R86" s="17">
        <f t="shared" si="19"/>
        <v>12.2</v>
      </c>
      <c r="S86" s="17">
        <v>12.2</v>
      </c>
      <c r="T86" s="17"/>
      <c r="U86" s="17">
        <f t="shared" si="21"/>
        <v>12.2</v>
      </c>
      <c r="V86" s="8"/>
      <c r="W86" s="1"/>
    </row>
    <row r="87" spans="1:24" ht="57.75" customHeight="1" collapsed="1" x14ac:dyDescent="0.25">
      <c r="A87" s="41"/>
      <c r="B87" s="34"/>
      <c r="C87" s="42"/>
      <c r="D87" s="153" t="s">
        <v>323</v>
      </c>
      <c r="E87" s="154"/>
      <c r="F87" s="154"/>
      <c r="G87" s="154"/>
      <c r="H87" s="154"/>
      <c r="I87" s="65" t="s">
        <v>113</v>
      </c>
      <c r="J87" s="66" t="s">
        <v>108</v>
      </c>
      <c r="K87" s="66" t="s">
        <v>27</v>
      </c>
      <c r="L87" s="66" t="s">
        <v>4</v>
      </c>
      <c r="M87" s="67">
        <f>M88+M90+M91</f>
        <v>783253.1</v>
      </c>
      <c r="N87" s="67">
        <f>N88+N90+N91+N89</f>
        <v>11478.9</v>
      </c>
      <c r="O87" s="67">
        <f>SUM(M87:N87)</f>
        <v>794732</v>
      </c>
      <c r="P87" s="67">
        <v>794732</v>
      </c>
      <c r="Q87" s="67">
        <f>Q88+Q90+Q91+Q89</f>
        <v>99763.9</v>
      </c>
      <c r="R87" s="67">
        <f t="shared" si="19"/>
        <v>894495.9</v>
      </c>
      <c r="S87" s="67">
        <v>903280.9</v>
      </c>
      <c r="T87" s="67">
        <f>SUM(T88+T89+T90+T91)</f>
        <v>200000</v>
      </c>
      <c r="U87" s="67">
        <f t="shared" si="21"/>
        <v>1103280.8999999999</v>
      </c>
      <c r="V87" s="72" t="s">
        <v>402</v>
      </c>
      <c r="W87" s="1"/>
    </row>
    <row r="88" spans="1:24" ht="60" hidden="1" customHeight="1" outlineLevel="1" x14ac:dyDescent="0.25">
      <c r="A88" s="41"/>
      <c r="B88" s="34"/>
      <c r="C88" s="42"/>
      <c r="D88" s="12"/>
      <c r="E88" s="155" t="s">
        <v>220</v>
      </c>
      <c r="F88" s="155"/>
      <c r="G88" s="155"/>
      <c r="H88" s="155"/>
      <c r="I88" s="13" t="s">
        <v>112</v>
      </c>
      <c r="J88" s="5" t="s">
        <v>108</v>
      </c>
      <c r="K88" s="5" t="s">
        <v>27</v>
      </c>
      <c r="L88" s="5" t="s">
        <v>13</v>
      </c>
      <c r="M88" s="17">
        <v>26837.9</v>
      </c>
      <c r="N88" s="17">
        <f>-1500+2200</f>
        <v>700</v>
      </c>
      <c r="O88" s="17">
        <f t="shared" si="22"/>
        <v>27537.9</v>
      </c>
      <c r="P88" s="17">
        <v>27537.9</v>
      </c>
      <c r="Q88" s="17">
        <f>59276.4+4461.7-3000</f>
        <v>60738.1</v>
      </c>
      <c r="R88" s="17">
        <f t="shared" ref="R88:R93" si="23">SUM(P88:Q88)</f>
        <v>88276</v>
      </c>
      <c r="S88" s="17">
        <v>97061</v>
      </c>
      <c r="T88" s="17"/>
      <c r="U88" s="17">
        <f t="shared" si="21"/>
        <v>97061</v>
      </c>
      <c r="V88" s="8"/>
      <c r="W88" s="1"/>
    </row>
    <row r="89" spans="1:24" ht="46.5" hidden="1" customHeight="1" outlineLevel="1" x14ac:dyDescent="0.25">
      <c r="A89" s="41"/>
      <c r="B89" s="34"/>
      <c r="C89" s="42"/>
      <c r="D89" s="12"/>
      <c r="E89" s="165" t="s">
        <v>358</v>
      </c>
      <c r="F89" s="160"/>
      <c r="G89" s="160"/>
      <c r="H89" s="161"/>
      <c r="I89" s="13"/>
      <c r="J89" s="5">
        <v>11</v>
      </c>
      <c r="K89" s="5">
        <v>3</v>
      </c>
      <c r="L89" s="5" t="s">
        <v>11</v>
      </c>
      <c r="M89" s="17">
        <v>0</v>
      </c>
      <c r="N89" s="17">
        <v>7518.3</v>
      </c>
      <c r="O89" s="17">
        <f t="shared" si="22"/>
        <v>7518.3</v>
      </c>
      <c r="P89" s="17">
        <v>7518.3</v>
      </c>
      <c r="Q89" s="17">
        <v>-7518.3</v>
      </c>
      <c r="R89" s="17">
        <f t="shared" si="23"/>
        <v>0</v>
      </c>
      <c r="S89" s="17">
        <v>0</v>
      </c>
      <c r="T89" s="17"/>
      <c r="U89" s="17">
        <f t="shared" si="21"/>
        <v>0</v>
      </c>
      <c r="V89" s="8"/>
      <c r="W89" s="1"/>
    </row>
    <row r="90" spans="1:24" ht="49.5" hidden="1" customHeight="1" outlineLevel="1" x14ac:dyDescent="0.25">
      <c r="A90" s="41"/>
      <c r="B90" s="34"/>
      <c r="C90" s="42"/>
      <c r="D90" s="12"/>
      <c r="E90" s="156" t="s">
        <v>221</v>
      </c>
      <c r="F90" s="155"/>
      <c r="G90" s="155"/>
      <c r="H90" s="155"/>
      <c r="I90" s="13" t="s">
        <v>111</v>
      </c>
      <c r="J90" s="5" t="s">
        <v>108</v>
      </c>
      <c r="K90" s="5" t="s">
        <v>27</v>
      </c>
      <c r="L90" s="5" t="s">
        <v>26</v>
      </c>
      <c r="M90" s="17">
        <v>0</v>
      </c>
      <c r="N90" s="17"/>
      <c r="O90" s="17">
        <f t="shared" si="22"/>
        <v>0</v>
      </c>
      <c r="P90" s="17">
        <v>0</v>
      </c>
      <c r="Q90" s="17">
        <f>3000+225.9</f>
        <v>3225.9</v>
      </c>
      <c r="R90" s="17">
        <f t="shared" si="23"/>
        <v>3225.9</v>
      </c>
      <c r="S90" s="17">
        <v>3225.9</v>
      </c>
      <c r="T90" s="17"/>
      <c r="U90" s="17">
        <f t="shared" si="21"/>
        <v>3225.9</v>
      </c>
      <c r="V90" s="8"/>
      <c r="W90" s="1"/>
    </row>
    <row r="91" spans="1:24" ht="66" hidden="1" customHeight="1" outlineLevel="1" x14ac:dyDescent="0.25">
      <c r="A91" s="41"/>
      <c r="B91" s="34"/>
      <c r="C91" s="42"/>
      <c r="D91" s="12"/>
      <c r="E91" s="189" t="s">
        <v>222</v>
      </c>
      <c r="F91" s="181"/>
      <c r="G91" s="181"/>
      <c r="H91" s="182"/>
      <c r="I91" s="13" t="s">
        <v>110</v>
      </c>
      <c r="J91" s="5" t="s">
        <v>108</v>
      </c>
      <c r="K91" s="5" t="s">
        <v>27</v>
      </c>
      <c r="L91" s="5" t="s">
        <v>109</v>
      </c>
      <c r="M91" s="17">
        <v>756415.2</v>
      </c>
      <c r="N91" s="17">
        <v>3260.6</v>
      </c>
      <c r="O91" s="17">
        <f t="shared" si="22"/>
        <v>759675.79999999993</v>
      </c>
      <c r="P91" s="17">
        <v>759675.79999999993</v>
      </c>
      <c r="Q91" s="17">
        <v>43318.2</v>
      </c>
      <c r="R91" s="17">
        <f t="shared" si="23"/>
        <v>802993.99999999988</v>
      </c>
      <c r="S91" s="17">
        <v>802993.99999999988</v>
      </c>
      <c r="T91" s="17">
        <f>39630+146370+14000</f>
        <v>200000</v>
      </c>
      <c r="U91" s="17">
        <f t="shared" si="21"/>
        <v>1002993.9999999999</v>
      </c>
      <c r="V91" s="21" t="s">
        <v>402</v>
      </c>
      <c r="W91" s="1"/>
    </row>
    <row r="92" spans="1:24" ht="36.75" customHeight="1" collapsed="1" x14ac:dyDescent="0.25">
      <c r="A92" s="41"/>
      <c r="B92" s="34"/>
      <c r="C92" s="42"/>
      <c r="D92" s="153" t="s">
        <v>329</v>
      </c>
      <c r="E92" s="154"/>
      <c r="F92" s="154"/>
      <c r="G92" s="154"/>
      <c r="H92" s="154"/>
      <c r="I92" s="65" t="s">
        <v>107</v>
      </c>
      <c r="J92" s="66" t="s">
        <v>108</v>
      </c>
      <c r="K92" s="66" t="s">
        <v>40</v>
      </c>
      <c r="L92" s="66" t="s">
        <v>4</v>
      </c>
      <c r="M92" s="67">
        <f>SUM(M93)</f>
        <v>0</v>
      </c>
      <c r="N92" s="67">
        <f>SUM(N93)</f>
        <v>0</v>
      </c>
      <c r="O92" s="67">
        <f t="shared" si="22"/>
        <v>0</v>
      </c>
      <c r="P92" s="67">
        <v>0</v>
      </c>
      <c r="Q92" s="67">
        <f>SUM(Q93)</f>
        <v>0</v>
      </c>
      <c r="R92" s="67">
        <f t="shared" si="23"/>
        <v>0</v>
      </c>
      <c r="S92" s="67">
        <v>0</v>
      </c>
      <c r="T92" s="67">
        <f>SUM(T93)</f>
        <v>0</v>
      </c>
      <c r="U92" s="67">
        <f t="shared" si="21"/>
        <v>0</v>
      </c>
      <c r="V92" s="68"/>
      <c r="W92" s="1"/>
    </row>
    <row r="93" spans="1:24" ht="36.75" hidden="1" customHeight="1" outlineLevel="1" x14ac:dyDescent="0.25">
      <c r="A93" s="41"/>
      <c r="B93" s="34"/>
      <c r="C93" s="42"/>
      <c r="D93" s="12"/>
      <c r="E93" s="156" t="s">
        <v>223</v>
      </c>
      <c r="F93" s="155"/>
      <c r="G93" s="155"/>
      <c r="H93" s="155"/>
      <c r="I93" s="13" t="s">
        <v>107</v>
      </c>
      <c r="J93" s="5" t="s">
        <v>108</v>
      </c>
      <c r="K93" s="5" t="s">
        <v>40</v>
      </c>
      <c r="L93" s="5" t="s">
        <v>13</v>
      </c>
      <c r="M93" s="17"/>
      <c r="N93" s="17"/>
      <c r="O93" s="17">
        <f t="shared" si="22"/>
        <v>0</v>
      </c>
      <c r="P93" s="17">
        <v>0</v>
      </c>
      <c r="Q93" s="17"/>
      <c r="R93" s="17">
        <f t="shared" si="23"/>
        <v>0</v>
      </c>
      <c r="S93" s="17">
        <v>0</v>
      </c>
      <c r="T93" s="17"/>
      <c r="U93" s="17">
        <f t="shared" si="21"/>
        <v>0</v>
      </c>
      <c r="V93" s="21"/>
      <c r="W93" s="1"/>
    </row>
    <row r="94" spans="1:24" ht="86.25" customHeight="1" collapsed="1" x14ac:dyDescent="0.25">
      <c r="A94" s="41"/>
      <c r="B94" s="1"/>
      <c r="D94" s="162" t="s">
        <v>304</v>
      </c>
      <c r="E94" s="163"/>
      <c r="F94" s="163"/>
      <c r="G94" s="163"/>
      <c r="H94" s="164"/>
      <c r="I94" s="53" t="s">
        <v>106</v>
      </c>
      <c r="J94" s="54" t="s">
        <v>103</v>
      </c>
      <c r="K94" s="54" t="s">
        <v>4</v>
      </c>
      <c r="L94" s="54" t="s">
        <v>4</v>
      </c>
      <c r="M94" s="56">
        <f>M95+M96+M98+M97</f>
        <v>32466.3</v>
      </c>
      <c r="N94" s="56">
        <f>N95+N96+N98+N97</f>
        <v>1300</v>
      </c>
      <c r="O94" s="55">
        <f>SUM(M94:N94)</f>
        <v>33766.300000000003</v>
      </c>
      <c r="P94" s="56">
        <v>33766.300000000003</v>
      </c>
      <c r="Q94" s="56">
        <f>Q95+Q96+Q98+Q97</f>
        <v>1025.8</v>
      </c>
      <c r="R94" s="55">
        <f>SUM(P94:Q94)</f>
        <v>34792.100000000006</v>
      </c>
      <c r="S94" s="55">
        <v>34069.100000000006</v>
      </c>
      <c r="T94" s="55">
        <f>SUM(T95+T96+T97+T98)</f>
        <v>2166.6</v>
      </c>
      <c r="U94" s="55">
        <f t="shared" ref="U94:U100" si="24">SUM(S94:T94)</f>
        <v>36235.700000000004</v>
      </c>
      <c r="V94" s="57" t="s">
        <v>434</v>
      </c>
      <c r="W94" s="1"/>
    </row>
    <row r="95" spans="1:24" ht="55.5" hidden="1" customHeight="1" outlineLevel="1" x14ac:dyDescent="0.25">
      <c r="A95" s="41"/>
      <c r="B95" s="34"/>
      <c r="C95" s="42"/>
      <c r="D95" s="12"/>
      <c r="E95" s="156" t="s">
        <v>224</v>
      </c>
      <c r="F95" s="155"/>
      <c r="G95" s="155"/>
      <c r="H95" s="155"/>
      <c r="I95" s="13" t="s">
        <v>105</v>
      </c>
      <c r="J95" s="5" t="s">
        <v>103</v>
      </c>
      <c r="K95" s="5" t="s">
        <v>2</v>
      </c>
      <c r="L95" s="5" t="s">
        <v>13</v>
      </c>
      <c r="M95" s="17">
        <v>1000</v>
      </c>
      <c r="N95" s="17">
        <f>1000</f>
        <v>1000</v>
      </c>
      <c r="O95" s="17">
        <f t="shared" si="22"/>
        <v>2000</v>
      </c>
      <c r="P95" s="17">
        <v>2000</v>
      </c>
      <c r="Q95" s="17"/>
      <c r="R95" s="17">
        <f>SUM(P95:Q95)</f>
        <v>2000</v>
      </c>
      <c r="S95" s="93">
        <v>1302.0999999999999</v>
      </c>
      <c r="T95" s="93">
        <f>-3</f>
        <v>-3</v>
      </c>
      <c r="U95" s="97">
        <f t="shared" si="24"/>
        <v>1299.0999999999999</v>
      </c>
      <c r="V95" s="77" t="s">
        <v>409</v>
      </c>
      <c r="W95" s="1"/>
    </row>
    <row r="96" spans="1:24" ht="94.5" hidden="1" customHeight="1" outlineLevel="1" x14ac:dyDescent="0.25">
      <c r="A96" s="41"/>
      <c r="B96" s="34"/>
      <c r="C96" s="42"/>
      <c r="D96" s="12"/>
      <c r="E96" s="156" t="s">
        <v>225</v>
      </c>
      <c r="F96" s="155"/>
      <c r="G96" s="155"/>
      <c r="H96" s="155"/>
      <c r="I96" s="13" t="s">
        <v>104</v>
      </c>
      <c r="J96" s="5" t="s">
        <v>103</v>
      </c>
      <c r="K96" s="5" t="s">
        <v>2</v>
      </c>
      <c r="L96" s="5" t="s">
        <v>11</v>
      </c>
      <c r="M96" s="17">
        <v>30466.3</v>
      </c>
      <c r="N96" s="17"/>
      <c r="O96" s="17">
        <f t="shared" si="22"/>
        <v>30466.3</v>
      </c>
      <c r="P96" s="17">
        <v>30466.3</v>
      </c>
      <c r="Q96" s="17">
        <f>1025.8</f>
        <v>1025.8</v>
      </c>
      <c r="R96" s="17">
        <f>SUM(P96:Q96)</f>
        <v>31492.1</v>
      </c>
      <c r="S96" s="17">
        <v>31468</v>
      </c>
      <c r="T96" s="17">
        <f>1091+3+1075.6</f>
        <v>2169.6</v>
      </c>
      <c r="U96" s="97">
        <f t="shared" si="24"/>
        <v>33637.599999999999</v>
      </c>
      <c r="V96" s="8" t="s">
        <v>410</v>
      </c>
      <c r="W96" s="1"/>
      <c r="X96" s="40"/>
    </row>
    <row r="97" spans="1:23" ht="48" hidden="1" customHeight="1" outlineLevel="1" x14ac:dyDescent="0.25">
      <c r="A97" s="41"/>
      <c r="B97" s="34"/>
      <c r="C97" s="42"/>
      <c r="D97" s="12"/>
      <c r="E97" s="155" t="s">
        <v>305</v>
      </c>
      <c r="F97" s="155"/>
      <c r="G97" s="155"/>
      <c r="H97" s="155"/>
      <c r="I97" s="13" t="s">
        <v>102</v>
      </c>
      <c r="J97" s="5" t="s">
        <v>103</v>
      </c>
      <c r="K97" s="5" t="s">
        <v>2</v>
      </c>
      <c r="L97" s="5" t="s">
        <v>26</v>
      </c>
      <c r="M97" s="17">
        <v>1000</v>
      </c>
      <c r="N97" s="17">
        <f>300</f>
        <v>300</v>
      </c>
      <c r="O97" s="17">
        <f t="shared" si="22"/>
        <v>1300</v>
      </c>
      <c r="P97" s="17">
        <v>1300</v>
      </c>
      <c r="Q97" s="17"/>
      <c r="R97" s="17">
        <f>SUM(P97:Q97)</f>
        <v>1300</v>
      </c>
      <c r="S97" s="93">
        <v>1299</v>
      </c>
      <c r="T97" s="93"/>
      <c r="U97" s="101">
        <f t="shared" si="24"/>
        <v>1299</v>
      </c>
      <c r="V97" s="103"/>
      <c r="W97" s="1"/>
    </row>
    <row r="98" spans="1:23" ht="27.75" hidden="1" customHeight="1" outlineLevel="1" x14ac:dyDescent="0.25">
      <c r="A98" s="41"/>
      <c r="B98" s="34"/>
      <c r="C98" s="42"/>
      <c r="D98" s="12"/>
      <c r="E98" s="155" t="s">
        <v>293</v>
      </c>
      <c r="F98" s="155"/>
      <c r="G98" s="155"/>
      <c r="H98" s="155"/>
      <c r="I98" s="13" t="s">
        <v>102</v>
      </c>
      <c r="J98" s="5" t="s">
        <v>103</v>
      </c>
      <c r="K98" s="5" t="s">
        <v>2</v>
      </c>
      <c r="L98" s="5" t="s">
        <v>294</v>
      </c>
      <c r="M98" s="17">
        <v>0</v>
      </c>
      <c r="N98" s="17"/>
      <c r="O98" s="17">
        <f t="shared" si="22"/>
        <v>0</v>
      </c>
      <c r="P98" s="17">
        <v>0</v>
      </c>
      <c r="Q98" s="17"/>
      <c r="R98" s="17">
        <f>SUM(P98:Q98)</f>
        <v>0</v>
      </c>
      <c r="S98" s="17">
        <v>0</v>
      </c>
      <c r="T98" s="17"/>
      <c r="U98" s="102">
        <f t="shared" si="24"/>
        <v>0</v>
      </c>
      <c r="V98" s="77"/>
      <c r="W98" s="1"/>
    </row>
    <row r="99" spans="1:23" ht="30.75" customHeight="1" collapsed="1" x14ac:dyDescent="0.25">
      <c r="A99" s="41"/>
      <c r="B99" s="1"/>
      <c r="D99" s="162" t="s">
        <v>314</v>
      </c>
      <c r="E99" s="163"/>
      <c r="F99" s="163"/>
      <c r="G99" s="163"/>
      <c r="H99" s="164"/>
      <c r="I99" s="53" t="s">
        <v>101</v>
      </c>
      <c r="J99" s="54" t="s">
        <v>95</v>
      </c>
      <c r="K99" s="54" t="s">
        <v>4</v>
      </c>
      <c r="L99" s="54" t="s">
        <v>4</v>
      </c>
      <c r="M99" s="56">
        <f>M100+M104+M106</f>
        <v>171719</v>
      </c>
      <c r="N99" s="56">
        <f>N100+N104+N106</f>
        <v>0</v>
      </c>
      <c r="O99" s="55">
        <f t="shared" ref="O99:O105" si="25">SUM(M99:N99)</f>
        <v>171719</v>
      </c>
      <c r="P99" s="56">
        <v>171719</v>
      </c>
      <c r="Q99" s="56">
        <f>Q100+Q104+Q106</f>
        <v>-141.19999999999999</v>
      </c>
      <c r="R99" s="55">
        <f t="shared" ref="R99:R105" si="26">SUM(P99:Q99)</f>
        <v>171577.8</v>
      </c>
      <c r="S99" s="55">
        <v>206777.3</v>
      </c>
      <c r="T99" s="55">
        <f>SUM(T100+T104+T106)</f>
        <v>0</v>
      </c>
      <c r="U99" s="55">
        <f t="shared" si="24"/>
        <v>206777.3</v>
      </c>
      <c r="V99" s="58"/>
      <c r="W99" s="1"/>
    </row>
    <row r="100" spans="1:23" ht="76.5" customHeight="1" x14ac:dyDescent="0.25">
      <c r="A100" s="41"/>
      <c r="B100" s="34"/>
      <c r="C100" s="42"/>
      <c r="D100" s="157" t="s">
        <v>226</v>
      </c>
      <c r="E100" s="154"/>
      <c r="F100" s="154"/>
      <c r="G100" s="154"/>
      <c r="H100" s="154"/>
      <c r="I100" s="65" t="s">
        <v>100</v>
      </c>
      <c r="J100" s="66" t="s">
        <v>95</v>
      </c>
      <c r="K100" s="66" t="s">
        <v>23</v>
      </c>
      <c r="L100" s="66" t="s">
        <v>4</v>
      </c>
      <c r="M100" s="67">
        <f>M101+M102</f>
        <v>15300</v>
      </c>
      <c r="N100" s="67">
        <f>N101+N102</f>
        <v>0</v>
      </c>
      <c r="O100" s="67">
        <f t="shared" si="25"/>
        <v>15300</v>
      </c>
      <c r="P100" s="67">
        <v>15300</v>
      </c>
      <c r="Q100" s="67">
        <f>Q101+Q102</f>
        <v>0</v>
      </c>
      <c r="R100" s="67">
        <f t="shared" si="26"/>
        <v>15300</v>
      </c>
      <c r="S100" s="67">
        <v>29221.4</v>
      </c>
      <c r="T100" s="67">
        <f>SUM(T101+T102+T103)</f>
        <v>0</v>
      </c>
      <c r="U100" s="67">
        <f t="shared" si="24"/>
        <v>29221.4</v>
      </c>
      <c r="V100" s="68"/>
      <c r="W100" s="1"/>
    </row>
    <row r="101" spans="1:23" ht="58.5" hidden="1" customHeight="1" outlineLevel="1" x14ac:dyDescent="0.25">
      <c r="A101" s="41"/>
      <c r="B101" s="34"/>
      <c r="C101" s="42"/>
      <c r="D101" s="12"/>
      <c r="E101" s="156" t="s">
        <v>227</v>
      </c>
      <c r="F101" s="155"/>
      <c r="G101" s="155"/>
      <c r="H101" s="155"/>
      <c r="I101" s="13" t="s">
        <v>99</v>
      </c>
      <c r="J101" s="5" t="s">
        <v>95</v>
      </c>
      <c r="K101" s="5" t="s">
        <v>23</v>
      </c>
      <c r="L101" s="5" t="s">
        <v>13</v>
      </c>
      <c r="M101" s="17">
        <v>300</v>
      </c>
      <c r="N101" s="17"/>
      <c r="O101" s="17">
        <f t="shared" si="25"/>
        <v>300</v>
      </c>
      <c r="P101" s="17">
        <v>300</v>
      </c>
      <c r="Q101" s="17"/>
      <c r="R101" s="17">
        <f t="shared" si="26"/>
        <v>300</v>
      </c>
      <c r="S101" s="17">
        <v>14451.7</v>
      </c>
      <c r="T101" s="17"/>
      <c r="U101" s="17">
        <f t="shared" ref="U101:U107" si="27">SUM(S101:T101)</f>
        <v>14451.7</v>
      </c>
      <c r="V101" s="8"/>
      <c r="W101" s="1"/>
    </row>
    <row r="102" spans="1:23" ht="77.25" hidden="1" customHeight="1" outlineLevel="1" x14ac:dyDescent="0.25">
      <c r="A102" s="41"/>
      <c r="B102" s="34"/>
      <c r="C102" s="42"/>
      <c r="D102" s="12"/>
      <c r="E102" s="156" t="s">
        <v>228</v>
      </c>
      <c r="F102" s="155"/>
      <c r="G102" s="155"/>
      <c r="H102" s="155"/>
      <c r="I102" s="13" t="s">
        <v>98</v>
      </c>
      <c r="J102" s="5" t="s">
        <v>95</v>
      </c>
      <c r="K102" s="5" t="s">
        <v>23</v>
      </c>
      <c r="L102" s="5" t="s">
        <v>11</v>
      </c>
      <c r="M102" s="17">
        <v>15000</v>
      </c>
      <c r="N102" s="17"/>
      <c r="O102" s="17">
        <f t="shared" si="25"/>
        <v>15000</v>
      </c>
      <c r="P102" s="17">
        <v>15000</v>
      </c>
      <c r="Q102" s="17"/>
      <c r="R102" s="17">
        <f t="shared" si="26"/>
        <v>15000</v>
      </c>
      <c r="S102" s="17">
        <v>13318.6</v>
      </c>
      <c r="T102" s="17"/>
      <c r="U102" s="17">
        <f t="shared" si="27"/>
        <v>13318.6</v>
      </c>
      <c r="V102" s="8"/>
      <c r="W102" s="1"/>
    </row>
    <row r="103" spans="1:23" ht="114.75" hidden="1" customHeight="1" outlineLevel="1" x14ac:dyDescent="0.25">
      <c r="A103" s="41"/>
      <c r="B103" s="34"/>
      <c r="C103" s="42"/>
      <c r="D103" s="12"/>
      <c r="E103" s="155" t="s">
        <v>379</v>
      </c>
      <c r="F103" s="155"/>
      <c r="G103" s="155"/>
      <c r="H103" s="155"/>
      <c r="I103" s="13"/>
      <c r="J103" s="5" t="s">
        <v>95</v>
      </c>
      <c r="K103" s="5" t="s">
        <v>23</v>
      </c>
      <c r="L103" s="5" t="s">
        <v>26</v>
      </c>
      <c r="M103" s="17"/>
      <c r="N103" s="17"/>
      <c r="O103" s="17"/>
      <c r="P103" s="17"/>
      <c r="Q103" s="17"/>
      <c r="R103" s="17"/>
      <c r="S103" s="17">
        <v>1451.1</v>
      </c>
      <c r="T103" s="17"/>
      <c r="U103" s="17">
        <f t="shared" si="27"/>
        <v>1451.1</v>
      </c>
      <c r="V103" s="104"/>
      <c r="W103" s="1"/>
    </row>
    <row r="104" spans="1:23" ht="81" customHeight="1" collapsed="1" x14ac:dyDescent="0.25">
      <c r="A104" s="41"/>
      <c r="B104" s="34"/>
      <c r="C104" s="42"/>
      <c r="D104" s="153" t="s">
        <v>330</v>
      </c>
      <c r="E104" s="154"/>
      <c r="F104" s="154"/>
      <c r="G104" s="154"/>
      <c r="H104" s="154"/>
      <c r="I104" s="65" t="s">
        <v>97</v>
      </c>
      <c r="J104" s="66" t="s">
        <v>95</v>
      </c>
      <c r="K104" s="66" t="s">
        <v>18</v>
      </c>
      <c r="L104" s="66" t="s">
        <v>4</v>
      </c>
      <c r="M104" s="67">
        <f>M105</f>
        <v>155419</v>
      </c>
      <c r="N104" s="67">
        <f>N105</f>
        <v>0</v>
      </c>
      <c r="O104" s="67">
        <f t="shared" si="25"/>
        <v>155419</v>
      </c>
      <c r="P104" s="67">
        <v>155419</v>
      </c>
      <c r="Q104" s="67">
        <f>Q105</f>
        <v>0</v>
      </c>
      <c r="R104" s="67">
        <f t="shared" si="26"/>
        <v>155419</v>
      </c>
      <c r="S104" s="67">
        <v>176419</v>
      </c>
      <c r="T104" s="67">
        <f>SUM(T105)</f>
        <v>0</v>
      </c>
      <c r="U104" s="67">
        <f t="shared" si="27"/>
        <v>176419</v>
      </c>
      <c r="V104" s="68"/>
      <c r="W104" s="1"/>
    </row>
    <row r="105" spans="1:23" ht="81" hidden="1" customHeight="1" outlineLevel="1" x14ac:dyDescent="0.25">
      <c r="A105" s="41"/>
      <c r="B105" s="34"/>
      <c r="C105" s="42"/>
      <c r="D105" s="12"/>
      <c r="E105" s="156" t="s">
        <v>229</v>
      </c>
      <c r="F105" s="155"/>
      <c r="G105" s="155"/>
      <c r="H105" s="155"/>
      <c r="I105" s="13" t="s">
        <v>97</v>
      </c>
      <c r="J105" s="5" t="s">
        <v>95</v>
      </c>
      <c r="K105" s="5" t="s">
        <v>18</v>
      </c>
      <c r="L105" s="5" t="s">
        <v>13</v>
      </c>
      <c r="M105" s="17">
        <v>155419</v>
      </c>
      <c r="N105" s="17"/>
      <c r="O105" s="17">
        <f t="shared" si="25"/>
        <v>155419</v>
      </c>
      <c r="P105" s="17">
        <v>155419</v>
      </c>
      <c r="Q105" s="17"/>
      <c r="R105" s="17">
        <f t="shared" si="26"/>
        <v>155419</v>
      </c>
      <c r="S105" s="17">
        <v>176419</v>
      </c>
      <c r="T105" s="17"/>
      <c r="U105" s="17">
        <f t="shared" si="27"/>
        <v>176419</v>
      </c>
      <c r="V105" s="8"/>
      <c r="W105" s="1"/>
    </row>
    <row r="106" spans="1:23" ht="61.5" customHeight="1" collapsed="1" x14ac:dyDescent="0.25">
      <c r="A106" s="41"/>
      <c r="B106" s="34"/>
      <c r="C106" s="42"/>
      <c r="D106" s="153" t="s">
        <v>331</v>
      </c>
      <c r="E106" s="154"/>
      <c r="F106" s="154"/>
      <c r="G106" s="154"/>
      <c r="H106" s="154"/>
      <c r="I106" s="65" t="s">
        <v>96</v>
      </c>
      <c r="J106" s="66" t="s">
        <v>95</v>
      </c>
      <c r="K106" s="66" t="s">
        <v>27</v>
      </c>
      <c r="L106" s="66" t="s">
        <v>4</v>
      </c>
      <c r="M106" s="67">
        <f>M107</f>
        <v>1000</v>
      </c>
      <c r="N106" s="67">
        <f>N107</f>
        <v>0</v>
      </c>
      <c r="O106" s="67">
        <f>O107</f>
        <v>1000</v>
      </c>
      <c r="P106" s="67">
        <v>1000</v>
      </c>
      <c r="Q106" s="67">
        <f>Q107</f>
        <v>-141.19999999999999</v>
      </c>
      <c r="R106" s="67">
        <f>R107</f>
        <v>858.8</v>
      </c>
      <c r="S106" s="67">
        <v>1136.9000000000001</v>
      </c>
      <c r="T106" s="67">
        <f>SUM(T107)</f>
        <v>0</v>
      </c>
      <c r="U106" s="67">
        <f t="shared" si="27"/>
        <v>1136.9000000000001</v>
      </c>
      <c r="V106" s="68"/>
      <c r="W106" s="1"/>
    </row>
    <row r="107" spans="1:23" ht="51" hidden="1" customHeight="1" outlineLevel="1" x14ac:dyDescent="0.25">
      <c r="A107" s="41"/>
      <c r="B107" s="34"/>
      <c r="C107" s="42"/>
      <c r="D107" s="12"/>
      <c r="E107" s="156" t="s">
        <v>230</v>
      </c>
      <c r="F107" s="155"/>
      <c r="G107" s="155"/>
      <c r="H107" s="155"/>
      <c r="I107" s="13" t="s">
        <v>96</v>
      </c>
      <c r="J107" s="5" t="s">
        <v>95</v>
      </c>
      <c r="K107" s="5" t="s">
        <v>27</v>
      </c>
      <c r="L107" s="5" t="s">
        <v>13</v>
      </c>
      <c r="M107" s="17">
        <v>1000</v>
      </c>
      <c r="N107" s="17"/>
      <c r="O107" s="17">
        <f>SUM(M107:N107)</f>
        <v>1000</v>
      </c>
      <c r="P107" s="17">
        <v>1000</v>
      </c>
      <c r="Q107" s="17">
        <v>-141.19999999999999</v>
      </c>
      <c r="R107" s="17">
        <f t="shared" ref="R107:R113" si="28">SUM(P107:Q107)</f>
        <v>858.8</v>
      </c>
      <c r="S107" s="17">
        <v>1136.9000000000001</v>
      </c>
      <c r="T107" s="17"/>
      <c r="U107" s="17">
        <f t="shared" si="27"/>
        <v>1136.9000000000001</v>
      </c>
      <c r="V107" s="8"/>
      <c r="W107" s="1"/>
    </row>
    <row r="108" spans="1:23" ht="42" customHeight="1" collapsed="1" x14ac:dyDescent="0.25">
      <c r="A108" s="41"/>
      <c r="B108" s="1"/>
      <c r="D108" s="162" t="s">
        <v>315</v>
      </c>
      <c r="E108" s="163"/>
      <c r="F108" s="163"/>
      <c r="G108" s="163"/>
      <c r="H108" s="164"/>
      <c r="I108" s="53" t="s">
        <v>94</v>
      </c>
      <c r="J108" s="54" t="s">
        <v>84</v>
      </c>
      <c r="K108" s="54" t="s">
        <v>4</v>
      </c>
      <c r="L108" s="54" t="s">
        <v>4</v>
      </c>
      <c r="M108" s="56">
        <f>M109+M114+M119+M121+M123</f>
        <v>44168.1</v>
      </c>
      <c r="N108" s="56">
        <f>N109+N114+N119+N121+N123</f>
        <v>1500</v>
      </c>
      <c r="O108" s="55">
        <f>SUM(M108:N108)</f>
        <v>45668.1</v>
      </c>
      <c r="P108" s="56">
        <v>45668.1</v>
      </c>
      <c r="Q108" s="56">
        <f>Q109+Q114+Q119+Q121+Q123</f>
        <v>-585</v>
      </c>
      <c r="R108" s="55">
        <f t="shared" si="28"/>
        <v>45083.1</v>
      </c>
      <c r="S108" s="55">
        <v>56724.6</v>
      </c>
      <c r="T108" s="55">
        <f>SUM(T109+T114+T119+T121+T123)</f>
        <v>172198.9</v>
      </c>
      <c r="U108" s="55">
        <f>SUM(S108:T108)</f>
        <v>228923.5</v>
      </c>
      <c r="V108" s="58"/>
      <c r="W108" s="1"/>
    </row>
    <row r="109" spans="1:23" ht="46.5" customHeight="1" x14ac:dyDescent="0.25">
      <c r="A109" s="41"/>
      <c r="B109" s="34"/>
      <c r="C109" s="42"/>
      <c r="D109" s="153" t="s">
        <v>324</v>
      </c>
      <c r="E109" s="154"/>
      <c r="F109" s="154"/>
      <c r="G109" s="154"/>
      <c r="H109" s="154"/>
      <c r="I109" s="65" t="s">
        <v>93</v>
      </c>
      <c r="J109" s="66" t="s">
        <v>84</v>
      </c>
      <c r="K109" s="66" t="s">
        <v>23</v>
      </c>
      <c r="L109" s="66" t="s">
        <v>4</v>
      </c>
      <c r="M109" s="67">
        <f>M110+M111+M112+M113</f>
        <v>36090.1</v>
      </c>
      <c r="N109" s="67">
        <f>N110+N111+N112+N113</f>
        <v>-700</v>
      </c>
      <c r="O109" s="67">
        <f>SUM(M109:N109)</f>
        <v>35390.1</v>
      </c>
      <c r="P109" s="67">
        <v>35390.1</v>
      </c>
      <c r="Q109" s="67">
        <f>Q110+Q111+Q112+Q113</f>
        <v>-580</v>
      </c>
      <c r="R109" s="67">
        <f t="shared" si="28"/>
        <v>34810.1</v>
      </c>
      <c r="S109" s="67">
        <v>39194.5</v>
      </c>
      <c r="T109" s="67">
        <f>SUM(T110+T111+T112+T113)</f>
        <v>3170.6</v>
      </c>
      <c r="U109" s="67">
        <f>SUM(S109:T109)</f>
        <v>42365.1</v>
      </c>
      <c r="V109" s="68" t="s">
        <v>394</v>
      </c>
      <c r="W109" s="1"/>
    </row>
    <row r="110" spans="1:23" ht="51" hidden="1" customHeight="1" outlineLevel="2" x14ac:dyDescent="0.25">
      <c r="A110" s="41"/>
      <c r="B110" s="34"/>
      <c r="C110" s="42"/>
      <c r="D110" s="12"/>
      <c r="E110" s="155" t="s">
        <v>338</v>
      </c>
      <c r="F110" s="155"/>
      <c r="G110" s="155"/>
      <c r="H110" s="155"/>
      <c r="I110" s="13" t="s">
        <v>92</v>
      </c>
      <c r="J110" s="5" t="s">
        <v>84</v>
      </c>
      <c r="K110" s="5" t="s">
        <v>23</v>
      </c>
      <c r="L110" s="5" t="s">
        <v>13</v>
      </c>
      <c r="M110" s="17">
        <v>2460.1</v>
      </c>
      <c r="N110" s="17"/>
      <c r="O110" s="17">
        <f t="shared" ref="O110:O129" si="29">SUM(M110:N110)</f>
        <v>2460.1</v>
      </c>
      <c r="P110" s="17">
        <v>2460.1</v>
      </c>
      <c r="Q110" s="17"/>
      <c r="R110" s="17">
        <f t="shared" si="28"/>
        <v>2460.1</v>
      </c>
      <c r="S110" s="17">
        <v>2460.1</v>
      </c>
      <c r="T110" s="17"/>
      <c r="U110" s="67">
        <f t="shared" ref="U110:U124" si="30">SUM(S110:T110)</f>
        <v>2460.1</v>
      </c>
      <c r="V110" s="8"/>
      <c r="W110" s="1"/>
    </row>
    <row r="111" spans="1:23" ht="40.5" hidden="1" customHeight="1" outlineLevel="2" x14ac:dyDescent="0.25">
      <c r="A111" s="41"/>
      <c r="B111" s="34"/>
      <c r="C111" s="42"/>
      <c r="D111" s="12"/>
      <c r="E111" s="155" t="s">
        <v>346</v>
      </c>
      <c r="F111" s="155"/>
      <c r="G111" s="155"/>
      <c r="H111" s="155"/>
      <c r="I111" s="13" t="s">
        <v>91</v>
      </c>
      <c r="J111" s="5" t="s">
        <v>84</v>
      </c>
      <c r="K111" s="5" t="s">
        <v>23</v>
      </c>
      <c r="L111" s="5" t="s">
        <v>11</v>
      </c>
      <c r="M111" s="17">
        <v>28630</v>
      </c>
      <c r="N111" s="17">
        <v>-308.60000000000002</v>
      </c>
      <c r="O111" s="17">
        <f t="shared" si="29"/>
        <v>28321.4</v>
      </c>
      <c r="P111" s="17">
        <v>28321.4</v>
      </c>
      <c r="Q111" s="17">
        <f>-2.3-37-200</f>
        <v>-239.3</v>
      </c>
      <c r="R111" s="17">
        <f t="shared" si="28"/>
        <v>28082.100000000002</v>
      </c>
      <c r="S111" s="17">
        <v>33965.4</v>
      </c>
      <c r="T111" s="17">
        <v>3170.6</v>
      </c>
      <c r="U111" s="67">
        <f t="shared" si="30"/>
        <v>37136</v>
      </c>
      <c r="V111" s="8" t="s">
        <v>394</v>
      </c>
      <c r="W111" s="1"/>
    </row>
    <row r="112" spans="1:23" ht="36.75" hidden="1" customHeight="1" outlineLevel="2" x14ac:dyDescent="0.25">
      <c r="A112" s="41"/>
      <c r="B112" s="34"/>
      <c r="C112" s="42"/>
      <c r="D112" s="12"/>
      <c r="E112" s="155" t="s">
        <v>342</v>
      </c>
      <c r="F112" s="155"/>
      <c r="G112" s="155"/>
      <c r="H112" s="155"/>
      <c r="I112" s="18" t="s">
        <v>343</v>
      </c>
      <c r="J112" s="9" t="s">
        <v>84</v>
      </c>
      <c r="K112" s="9" t="s">
        <v>23</v>
      </c>
      <c r="L112" s="9" t="s">
        <v>26</v>
      </c>
      <c r="M112" s="17">
        <v>5000</v>
      </c>
      <c r="N112" s="17">
        <v>-391.4</v>
      </c>
      <c r="O112" s="17">
        <f t="shared" si="29"/>
        <v>4608.6000000000004</v>
      </c>
      <c r="P112" s="17">
        <v>4608.6000000000004</v>
      </c>
      <c r="Q112" s="17">
        <f>-227.7-113</f>
        <v>-340.7</v>
      </c>
      <c r="R112" s="17">
        <f t="shared" si="28"/>
        <v>4267.9000000000005</v>
      </c>
      <c r="S112" s="17">
        <v>2769.0000000000005</v>
      </c>
      <c r="T112" s="17"/>
      <c r="U112" s="67">
        <f t="shared" si="30"/>
        <v>2769.0000000000005</v>
      </c>
      <c r="V112" s="8"/>
      <c r="W112" s="1"/>
    </row>
    <row r="113" spans="1:23" ht="21" hidden="1" customHeight="1" outlineLevel="2" x14ac:dyDescent="0.25">
      <c r="A113" s="41"/>
      <c r="B113" s="34"/>
      <c r="C113" s="42"/>
      <c r="D113" s="12"/>
      <c r="E113" s="165" t="s">
        <v>347</v>
      </c>
      <c r="F113" s="160"/>
      <c r="G113" s="160"/>
      <c r="H113" s="161"/>
      <c r="I113" s="18"/>
      <c r="J113" s="9" t="s">
        <v>84</v>
      </c>
      <c r="K113" s="9" t="s">
        <v>23</v>
      </c>
      <c r="L113" s="9" t="s">
        <v>10</v>
      </c>
      <c r="M113" s="17">
        <v>0</v>
      </c>
      <c r="N113" s="17"/>
      <c r="O113" s="17">
        <f t="shared" si="29"/>
        <v>0</v>
      </c>
      <c r="P113" s="17">
        <v>0</v>
      </c>
      <c r="Q113" s="17"/>
      <c r="R113" s="17">
        <f t="shared" si="28"/>
        <v>0</v>
      </c>
      <c r="S113" s="17">
        <v>0</v>
      </c>
      <c r="T113" s="17"/>
      <c r="U113" s="67">
        <f t="shared" si="30"/>
        <v>0</v>
      </c>
      <c r="V113" s="8"/>
      <c r="W113" s="1"/>
    </row>
    <row r="114" spans="1:23" ht="126" customHeight="1" collapsed="1" x14ac:dyDescent="0.25">
      <c r="A114" s="41"/>
      <c r="B114" s="34"/>
      <c r="C114" s="42"/>
      <c r="D114" s="153" t="s">
        <v>325</v>
      </c>
      <c r="E114" s="154"/>
      <c r="F114" s="154"/>
      <c r="G114" s="154"/>
      <c r="H114" s="154"/>
      <c r="I114" s="65" t="s">
        <v>90</v>
      </c>
      <c r="J114" s="66" t="s">
        <v>84</v>
      </c>
      <c r="K114" s="66" t="s">
        <v>18</v>
      </c>
      <c r="L114" s="66" t="s">
        <v>4</v>
      </c>
      <c r="M114" s="67">
        <f>M115+M116+M117+M118</f>
        <v>7428</v>
      </c>
      <c r="N114" s="67">
        <f>N115+N116+N117+N118</f>
        <v>1200</v>
      </c>
      <c r="O114" s="67">
        <f>O115+O116+O117+O118</f>
        <v>8628</v>
      </c>
      <c r="P114" s="67">
        <v>8628</v>
      </c>
      <c r="Q114" s="67">
        <f>Q115+Q116+Q117+Q118</f>
        <v>0</v>
      </c>
      <c r="R114" s="67">
        <f>R115+R116+R117+R118</f>
        <v>8628</v>
      </c>
      <c r="S114" s="67">
        <v>15628</v>
      </c>
      <c r="T114" s="67">
        <f>SUM(T115+T116+T117+T118)</f>
        <v>169104.8</v>
      </c>
      <c r="U114" s="67">
        <f t="shared" si="30"/>
        <v>184732.79999999999</v>
      </c>
      <c r="V114" s="68" t="s">
        <v>450</v>
      </c>
      <c r="W114" s="1"/>
    </row>
    <row r="115" spans="1:23" ht="63" hidden="1" customHeight="1" outlineLevel="1" x14ac:dyDescent="0.25">
      <c r="A115" s="41"/>
      <c r="B115" s="34"/>
      <c r="C115" s="42"/>
      <c r="D115" s="12"/>
      <c r="E115" s="156" t="s">
        <v>231</v>
      </c>
      <c r="F115" s="155"/>
      <c r="G115" s="155"/>
      <c r="H115" s="155"/>
      <c r="I115" s="13" t="s">
        <v>89</v>
      </c>
      <c r="J115" s="5" t="s">
        <v>84</v>
      </c>
      <c r="K115" s="5" t="s">
        <v>18</v>
      </c>
      <c r="L115" s="5" t="s">
        <v>13</v>
      </c>
      <c r="M115" s="17">
        <v>2500.8000000000002</v>
      </c>
      <c r="N115" s="17">
        <f>700+500</f>
        <v>1200</v>
      </c>
      <c r="O115" s="17">
        <f t="shared" si="29"/>
        <v>3700.8</v>
      </c>
      <c r="P115" s="17">
        <v>3700.8</v>
      </c>
      <c r="Q115" s="17"/>
      <c r="R115" s="17">
        <f t="shared" ref="R115:R122" si="31">SUM(P115:Q115)</f>
        <v>3700.8</v>
      </c>
      <c r="S115" s="17">
        <v>10700.8</v>
      </c>
      <c r="T115" s="17">
        <v>100</v>
      </c>
      <c r="U115" s="67">
        <f t="shared" si="30"/>
        <v>10800.8</v>
      </c>
      <c r="V115" s="8" t="s">
        <v>395</v>
      </c>
      <c r="W115" s="1"/>
    </row>
    <row r="116" spans="1:23" ht="37.5" hidden="1" customHeight="1" outlineLevel="1" x14ac:dyDescent="0.25">
      <c r="A116" s="41"/>
      <c r="B116" s="34"/>
      <c r="C116" s="42"/>
      <c r="D116" s="12"/>
      <c r="E116" s="155" t="s">
        <v>232</v>
      </c>
      <c r="F116" s="155"/>
      <c r="G116" s="155"/>
      <c r="H116" s="155"/>
      <c r="I116" s="13" t="s">
        <v>88</v>
      </c>
      <c r="J116" s="5" t="s">
        <v>84</v>
      </c>
      <c r="K116" s="5" t="s">
        <v>18</v>
      </c>
      <c r="L116" s="5" t="s">
        <v>11</v>
      </c>
      <c r="M116" s="17">
        <v>0</v>
      </c>
      <c r="N116" s="17"/>
      <c r="O116" s="17">
        <f t="shared" si="29"/>
        <v>0</v>
      </c>
      <c r="P116" s="17">
        <v>0</v>
      </c>
      <c r="Q116" s="17"/>
      <c r="R116" s="17">
        <f t="shared" si="31"/>
        <v>0</v>
      </c>
      <c r="S116" s="17">
        <v>0</v>
      </c>
      <c r="T116" s="17"/>
      <c r="U116" s="67">
        <f t="shared" si="30"/>
        <v>0</v>
      </c>
      <c r="V116" s="8"/>
      <c r="W116" s="1"/>
    </row>
    <row r="117" spans="1:23" ht="83.25" hidden="1" customHeight="1" outlineLevel="1" x14ac:dyDescent="0.25">
      <c r="A117" s="41"/>
      <c r="B117" s="34"/>
      <c r="C117" s="42"/>
      <c r="D117" s="12"/>
      <c r="E117" s="155" t="s">
        <v>233</v>
      </c>
      <c r="F117" s="155"/>
      <c r="G117" s="155"/>
      <c r="H117" s="155"/>
      <c r="I117" s="13" t="s">
        <v>87</v>
      </c>
      <c r="J117" s="5" t="s">
        <v>84</v>
      </c>
      <c r="K117" s="5" t="s">
        <v>18</v>
      </c>
      <c r="L117" s="5" t="s">
        <v>26</v>
      </c>
      <c r="M117" s="17">
        <v>4927.2</v>
      </c>
      <c r="N117" s="17"/>
      <c r="O117" s="17">
        <f t="shared" si="29"/>
        <v>4927.2</v>
      </c>
      <c r="P117" s="17">
        <v>4927.2</v>
      </c>
      <c r="Q117" s="17"/>
      <c r="R117" s="17">
        <f t="shared" si="31"/>
        <v>4927.2</v>
      </c>
      <c r="S117" s="17">
        <v>4927.2</v>
      </c>
      <c r="T117" s="17">
        <v>-995.2</v>
      </c>
      <c r="U117" s="67">
        <f t="shared" si="30"/>
        <v>3932</v>
      </c>
      <c r="V117" s="8" t="s">
        <v>396</v>
      </c>
      <c r="W117" s="1"/>
    </row>
    <row r="118" spans="1:23" ht="79.5" hidden="1" customHeight="1" outlineLevel="1" x14ac:dyDescent="0.25">
      <c r="A118" s="34"/>
      <c r="B118" s="34"/>
      <c r="C118" s="34"/>
      <c r="D118" s="34"/>
      <c r="E118" s="156" t="s">
        <v>307</v>
      </c>
      <c r="F118" s="155"/>
      <c r="G118" s="155"/>
      <c r="H118" s="155"/>
      <c r="I118" s="13"/>
      <c r="J118" s="5" t="s">
        <v>84</v>
      </c>
      <c r="K118" s="5" t="s">
        <v>18</v>
      </c>
      <c r="L118" s="9" t="s">
        <v>10</v>
      </c>
      <c r="M118" s="17"/>
      <c r="N118" s="17"/>
      <c r="O118" s="17">
        <f t="shared" si="29"/>
        <v>0</v>
      </c>
      <c r="P118" s="17">
        <v>0</v>
      </c>
      <c r="Q118" s="17"/>
      <c r="R118" s="17">
        <f t="shared" si="31"/>
        <v>0</v>
      </c>
      <c r="S118" s="17">
        <v>0</v>
      </c>
      <c r="T118" s="17">
        <v>170000</v>
      </c>
      <c r="U118" s="67">
        <f t="shared" si="30"/>
        <v>170000</v>
      </c>
      <c r="V118" s="8" t="s">
        <v>454</v>
      </c>
      <c r="W118" s="1"/>
    </row>
    <row r="119" spans="1:23" ht="42" customHeight="1" collapsed="1" x14ac:dyDescent="0.25">
      <c r="A119" s="41"/>
      <c r="B119" s="34"/>
      <c r="C119" s="42"/>
      <c r="D119" s="153" t="s">
        <v>332</v>
      </c>
      <c r="E119" s="154"/>
      <c r="F119" s="154"/>
      <c r="G119" s="154"/>
      <c r="H119" s="154"/>
      <c r="I119" s="65" t="s">
        <v>86</v>
      </c>
      <c r="J119" s="66" t="s">
        <v>84</v>
      </c>
      <c r="K119" s="66" t="s">
        <v>27</v>
      </c>
      <c r="L119" s="66" t="s">
        <v>4</v>
      </c>
      <c r="M119" s="67">
        <f>M120</f>
        <v>150</v>
      </c>
      <c r="N119" s="67">
        <f>N120</f>
        <v>0</v>
      </c>
      <c r="O119" s="67">
        <f>SUM(M119:N119)</f>
        <v>150</v>
      </c>
      <c r="P119" s="67">
        <v>150</v>
      </c>
      <c r="Q119" s="67">
        <f>Q120</f>
        <v>0</v>
      </c>
      <c r="R119" s="67">
        <f t="shared" si="31"/>
        <v>150</v>
      </c>
      <c r="S119" s="67">
        <v>307.10000000000002</v>
      </c>
      <c r="T119" s="67">
        <f>SUM(T120)</f>
        <v>0</v>
      </c>
      <c r="U119" s="67">
        <f t="shared" si="30"/>
        <v>307.10000000000002</v>
      </c>
      <c r="V119" s="68"/>
      <c r="W119" s="1"/>
    </row>
    <row r="120" spans="1:23" ht="24" hidden="1" customHeight="1" outlineLevel="1" x14ac:dyDescent="0.25">
      <c r="A120" s="41"/>
      <c r="B120" s="34"/>
      <c r="C120" s="42"/>
      <c r="D120" s="12"/>
      <c r="E120" s="156" t="s">
        <v>234</v>
      </c>
      <c r="F120" s="155"/>
      <c r="G120" s="155"/>
      <c r="H120" s="155"/>
      <c r="I120" s="13" t="s">
        <v>86</v>
      </c>
      <c r="J120" s="5" t="s">
        <v>84</v>
      </c>
      <c r="K120" s="5" t="s">
        <v>27</v>
      </c>
      <c r="L120" s="5" t="s">
        <v>13</v>
      </c>
      <c r="M120" s="17">
        <v>150</v>
      </c>
      <c r="N120" s="17"/>
      <c r="O120" s="17">
        <f t="shared" si="29"/>
        <v>150</v>
      </c>
      <c r="P120" s="17">
        <v>150</v>
      </c>
      <c r="Q120" s="17"/>
      <c r="R120" s="17">
        <f t="shared" si="31"/>
        <v>150</v>
      </c>
      <c r="S120" s="17">
        <v>307.10000000000002</v>
      </c>
      <c r="T120" s="17"/>
      <c r="U120" s="67">
        <f t="shared" si="30"/>
        <v>307.10000000000002</v>
      </c>
      <c r="V120" s="8"/>
      <c r="W120" s="1"/>
    </row>
    <row r="121" spans="1:23" ht="40.5" customHeight="1" collapsed="1" x14ac:dyDescent="0.25">
      <c r="A121" s="41"/>
      <c r="B121" s="34"/>
      <c r="C121" s="42"/>
      <c r="D121" s="153" t="s">
        <v>333</v>
      </c>
      <c r="E121" s="154"/>
      <c r="F121" s="154"/>
      <c r="G121" s="154"/>
      <c r="H121" s="154"/>
      <c r="I121" s="65" t="s">
        <v>85</v>
      </c>
      <c r="J121" s="66" t="s">
        <v>84</v>
      </c>
      <c r="K121" s="66" t="s">
        <v>40</v>
      </c>
      <c r="L121" s="66" t="s">
        <v>4</v>
      </c>
      <c r="M121" s="67">
        <f>M122</f>
        <v>500</v>
      </c>
      <c r="N121" s="67">
        <f>N122</f>
        <v>1000</v>
      </c>
      <c r="O121" s="67">
        <f>SUM(M121:N121)</f>
        <v>1500</v>
      </c>
      <c r="P121" s="67">
        <v>1500</v>
      </c>
      <c r="Q121" s="67">
        <f>Q122</f>
        <v>-5</v>
      </c>
      <c r="R121" s="67">
        <f t="shared" si="31"/>
        <v>1495</v>
      </c>
      <c r="S121" s="67">
        <v>1595</v>
      </c>
      <c r="T121" s="67">
        <f>SUM(T122)</f>
        <v>-76.5</v>
      </c>
      <c r="U121" s="67">
        <f t="shared" si="30"/>
        <v>1518.5</v>
      </c>
      <c r="V121" s="68" t="s">
        <v>403</v>
      </c>
      <c r="W121" s="1"/>
    </row>
    <row r="122" spans="1:23" ht="32.25" hidden="1" customHeight="1" outlineLevel="1" x14ac:dyDescent="0.25">
      <c r="A122" s="41"/>
      <c r="B122" s="34"/>
      <c r="C122" s="42"/>
      <c r="D122" s="12"/>
      <c r="E122" s="156" t="s">
        <v>235</v>
      </c>
      <c r="F122" s="155"/>
      <c r="G122" s="155"/>
      <c r="H122" s="155"/>
      <c r="I122" s="13" t="s">
        <v>85</v>
      </c>
      <c r="J122" s="5" t="s">
        <v>84</v>
      </c>
      <c r="K122" s="5" t="s">
        <v>40</v>
      </c>
      <c r="L122" s="5" t="s">
        <v>13</v>
      </c>
      <c r="M122" s="17">
        <v>500</v>
      </c>
      <c r="N122" s="17">
        <v>1000</v>
      </c>
      <c r="O122" s="17">
        <f>SUM(M122:N122)</f>
        <v>1500</v>
      </c>
      <c r="P122" s="17">
        <v>1500</v>
      </c>
      <c r="Q122" s="17">
        <v>-5</v>
      </c>
      <c r="R122" s="17">
        <f t="shared" si="31"/>
        <v>1495</v>
      </c>
      <c r="S122" s="17">
        <v>1595</v>
      </c>
      <c r="T122" s="17">
        <v>-76.5</v>
      </c>
      <c r="U122" s="67">
        <f t="shared" si="30"/>
        <v>1518.5</v>
      </c>
      <c r="V122" s="8" t="s">
        <v>403</v>
      </c>
      <c r="W122" s="1"/>
    </row>
    <row r="123" spans="1:23" ht="26.25" customHeight="1" collapsed="1" x14ac:dyDescent="0.25">
      <c r="A123" s="41"/>
      <c r="B123" s="34"/>
      <c r="C123" s="42"/>
      <c r="D123" s="153" t="s">
        <v>327</v>
      </c>
      <c r="E123" s="154"/>
      <c r="F123" s="154"/>
      <c r="G123" s="154"/>
      <c r="H123" s="154"/>
      <c r="I123" s="65" t="s">
        <v>82</v>
      </c>
      <c r="J123" s="66" t="s">
        <v>84</v>
      </c>
      <c r="K123" s="66" t="s">
        <v>83</v>
      </c>
      <c r="L123" s="66" t="s">
        <v>4</v>
      </c>
      <c r="M123" s="67">
        <f>M124</f>
        <v>0</v>
      </c>
      <c r="N123" s="67">
        <f>N124</f>
        <v>0</v>
      </c>
      <c r="O123" s="67">
        <f>O124</f>
        <v>0</v>
      </c>
      <c r="P123" s="67">
        <v>0</v>
      </c>
      <c r="Q123" s="67">
        <f>Q124</f>
        <v>0</v>
      </c>
      <c r="R123" s="67">
        <f>R124</f>
        <v>0</v>
      </c>
      <c r="S123" s="67">
        <v>0</v>
      </c>
      <c r="T123" s="67">
        <f>SUM(T124)</f>
        <v>0</v>
      </c>
      <c r="U123" s="67">
        <f t="shared" si="30"/>
        <v>0</v>
      </c>
      <c r="V123" s="68"/>
      <c r="W123" s="1"/>
    </row>
    <row r="124" spans="1:23" ht="37.5" hidden="1" customHeight="1" outlineLevel="1" x14ac:dyDescent="0.25">
      <c r="A124" s="41"/>
      <c r="B124" s="34"/>
      <c r="C124" s="42"/>
      <c r="D124" s="12"/>
      <c r="E124" s="155" t="s">
        <v>326</v>
      </c>
      <c r="F124" s="155"/>
      <c r="G124" s="155"/>
      <c r="H124" s="155"/>
      <c r="I124" s="13" t="s">
        <v>82</v>
      </c>
      <c r="J124" s="5" t="s">
        <v>84</v>
      </c>
      <c r="K124" s="5" t="s">
        <v>83</v>
      </c>
      <c r="L124" s="5" t="s">
        <v>13</v>
      </c>
      <c r="M124" s="17">
        <v>0</v>
      </c>
      <c r="N124" s="17"/>
      <c r="O124" s="17">
        <f t="shared" si="29"/>
        <v>0</v>
      </c>
      <c r="P124" s="17">
        <v>0</v>
      </c>
      <c r="Q124" s="17"/>
      <c r="R124" s="17">
        <f t="shared" ref="R124:R135" si="32">SUM(P124:Q124)</f>
        <v>0</v>
      </c>
      <c r="S124" s="17">
        <v>0</v>
      </c>
      <c r="T124" s="17"/>
      <c r="U124" s="67">
        <f t="shared" si="30"/>
        <v>0</v>
      </c>
      <c r="V124" s="8"/>
      <c r="W124" s="1"/>
    </row>
    <row r="125" spans="1:23" ht="54" customHeight="1" collapsed="1" x14ac:dyDescent="0.25">
      <c r="A125" s="41"/>
      <c r="B125" s="1"/>
      <c r="D125" s="162" t="s">
        <v>316</v>
      </c>
      <c r="E125" s="163"/>
      <c r="F125" s="163"/>
      <c r="G125" s="163"/>
      <c r="H125" s="164"/>
      <c r="I125" s="53" t="s">
        <v>81</v>
      </c>
      <c r="J125" s="54" t="s">
        <v>80</v>
      </c>
      <c r="K125" s="54" t="s">
        <v>4</v>
      </c>
      <c r="L125" s="54" t="s">
        <v>4</v>
      </c>
      <c r="M125" s="56">
        <f>M126</f>
        <v>3514.1</v>
      </c>
      <c r="N125" s="56">
        <f>N126</f>
        <v>0</v>
      </c>
      <c r="O125" s="61">
        <f>SUM(M125:N125)</f>
        <v>3514.1</v>
      </c>
      <c r="P125" s="56">
        <v>3514.1</v>
      </c>
      <c r="Q125" s="56">
        <f>Q126</f>
        <v>0</v>
      </c>
      <c r="R125" s="61">
        <f t="shared" si="32"/>
        <v>3514.1</v>
      </c>
      <c r="S125" s="61">
        <v>1800</v>
      </c>
      <c r="T125" s="61">
        <f>SUM(T126)</f>
        <v>0</v>
      </c>
      <c r="U125" s="61">
        <f t="shared" ref="U125:U131" si="33">SUM(S125:T125)</f>
        <v>1800</v>
      </c>
      <c r="V125" s="57"/>
      <c r="W125" s="1"/>
    </row>
    <row r="126" spans="1:23" ht="56.25" hidden="1" customHeight="1" outlineLevel="1" x14ac:dyDescent="0.25">
      <c r="A126" s="41"/>
      <c r="B126" s="34"/>
      <c r="C126" s="42"/>
      <c r="D126" s="12"/>
      <c r="E126" s="156" t="s">
        <v>288</v>
      </c>
      <c r="F126" s="155"/>
      <c r="G126" s="155"/>
      <c r="H126" s="155"/>
      <c r="I126" s="13" t="s">
        <v>81</v>
      </c>
      <c r="J126" s="5" t="s">
        <v>80</v>
      </c>
      <c r="K126" s="5" t="s">
        <v>2</v>
      </c>
      <c r="L126" s="5" t="s">
        <v>13</v>
      </c>
      <c r="M126" s="17">
        <v>3514.1</v>
      </c>
      <c r="N126" s="17"/>
      <c r="O126" s="17">
        <f t="shared" si="29"/>
        <v>3514.1</v>
      </c>
      <c r="P126" s="17">
        <v>3514.1</v>
      </c>
      <c r="Q126" s="17"/>
      <c r="R126" s="17">
        <f t="shared" si="32"/>
        <v>3514.1</v>
      </c>
      <c r="S126" s="17">
        <v>1800</v>
      </c>
      <c r="T126" s="17"/>
      <c r="U126" s="98">
        <f t="shared" si="33"/>
        <v>1800</v>
      </c>
      <c r="V126" s="8"/>
      <c r="W126" s="1"/>
    </row>
    <row r="127" spans="1:23" ht="63" customHeight="1" collapsed="1" x14ac:dyDescent="0.25">
      <c r="A127" s="41"/>
      <c r="B127" s="1"/>
      <c r="D127" s="162" t="s">
        <v>328</v>
      </c>
      <c r="E127" s="163"/>
      <c r="F127" s="163"/>
      <c r="G127" s="163"/>
      <c r="H127" s="164"/>
      <c r="I127" s="53" t="s">
        <v>78</v>
      </c>
      <c r="J127" s="54" t="s">
        <v>79</v>
      </c>
      <c r="K127" s="62" t="s">
        <v>4</v>
      </c>
      <c r="L127" s="62" t="s">
        <v>4</v>
      </c>
      <c r="M127" s="63">
        <f>SUM(M128:M129)</f>
        <v>1446</v>
      </c>
      <c r="N127" s="63">
        <f>SUM(N128:N129)</f>
        <v>1500</v>
      </c>
      <c r="O127" s="61">
        <f>SUM(M127:N127)</f>
        <v>2946</v>
      </c>
      <c r="P127" s="63">
        <v>2946</v>
      </c>
      <c r="Q127" s="63">
        <f>SUM(Q128:Q129)</f>
        <v>1290.4000000000001</v>
      </c>
      <c r="R127" s="61">
        <f t="shared" si="32"/>
        <v>4236.3999999999996</v>
      </c>
      <c r="S127" s="61">
        <v>4813.5999999999995</v>
      </c>
      <c r="T127" s="61">
        <f>SUM(T128+T129)</f>
        <v>-184.4</v>
      </c>
      <c r="U127" s="61">
        <f t="shared" si="33"/>
        <v>4629.2</v>
      </c>
      <c r="V127" s="57" t="s">
        <v>440</v>
      </c>
      <c r="W127" s="1"/>
    </row>
    <row r="128" spans="1:23" ht="45" hidden="1" customHeight="1" outlineLevel="1" x14ac:dyDescent="0.25">
      <c r="A128" s="41"/>
      <c r="B128" s="34"/>
      <c r="C128" s="42"/>
      <c r="D128" s="12"/>
      <c r="E128" s="156" t="s">
        <v>236</v>
      </c>
      <c r="F128" s="155"/>
      <c r="G128" s="155"/>
      <c r="H128" s="155"/>
      <c r="I128" s="13" t="s">
        <v>78</v>
      </c>
      <c r="J128" s="5" t="s">
        <v>79</v>
      </c>
      <c r="K128" s="5" t="s">
        <v>2</v>
      </c>
      <c r="L128" s="5" t="s">
        <v>13</v>
      </c>
      <c r="M128" s="17">
        <v>1346</v>
      </c>
      <c r="N128" s="17"/>
      <c r="O128" s="16">
        <f t="shared" si="29"/>
        <v>1346</v>
      </c>
      <c r="P128" s="17">
        <v>1346</v>
      </c>
      <c r="Q128" s="17"/>
      <c r="R128" s="16">
        <f t="shared" si="32"/>
        <v>1346</v>
      </c>
      <c r="S128" s="17">
        <v>1523.2</v>
      </c>
      <c r="T128" s="17">
        <v>-84.4</v>
      </c>
      <c r="U128" s="98">
        <f t="shared" si="33"/>
        <v>1438.8</v>
      </c>
      <c r="V128" s="28" t="s">
        <v>404</v>
      </c>
      <c r="W128" s="1"/>
    </row>
    <row r="129" spans="1:23" ht="33.75" hidden="1" customHeight="1" outlineLevel="1" x14ac:dyDescent="0.25">
      <c r="A129" s="41"/>
      <c r="B129" s="34"/>
      <c r="C129" s="42"/>
      <c r="D129" s="12"/>
      <c r="E129" s="155" t="s">
        <v>340</v>
      </c>
      <c r="F129" s="155"/>
      <c r="G129" s="155"/>
      <c r="H129" s="155"/>
      <c r="I129" s="13">
        <v>1600200000</v>
      </c>
      <c r="J129" s="5">
        <v>16</v>
      </c>
      <c r="K129" s="5">
        <v>0</v>
      </c>
      <c r="L129" s="9" t="s">
        <v>11</v>
      </c>
      <c r="M129" s="17">
        <v>100</v>
      </c>
      <c r="N129" s="17">
        <v>1500</v>
      </c>
      <c r="O129" s="16">
        <f t="shared" si="29"/>
        <v>1600</v>
      </c>
      <c r="P129" s="17">
        <v>1600</v>
      </c>
      <c r="Q129" s="17">
        <f>1200+90.4</f>
        <v>1290.4000000000001</v>
      </c>
      <c r="R129" s="16">
        <f t="shared" si="32"/>
        <v>2890.4</v>
      </c>
      <c r="S129" s="17">
        <v>3290.4</v>
      </c>
      <c r="T129" s="17">
        <v>-100</v>
      </c>
      <c r="U129" s="98">
        <f t="shared" si="33"/>
        <v>3190.4</v>
      </c>
      <c r="V129" s="28" t="s">
        <v>405</v>
      </c>
      <c r="W129" s="1"/>
    </row>
    <row r="130" spans="1:23" ht="51" customHeight="1" collapsed="1" x14ac:dyDescent="0.25">
      <c r="A130" s="41"/>
      <c r="B130" s="1"/>
      <c r="D130" s="162" t="s">
        <v>334</v>
      </c>
      <c r="E130" s="163"/>
      <c r="F130" s="163"/>
      <c r="G130" s="163"/>
      <c r="H130" s="164"/>
      <c r="I130" s="53" t="s">
        <v>77</v>
      </c>
      <c r="J130" s="54" t="s">
        <v>71</v>
      </c>
      <c r="K130" s="54" t="s">
        <v>4</v>
      </c>
      <c r="L130" s="54" t="s">
        <v>4</v>
      </c>
      <c r="M130" s="56">
        <f>M131+M136</f>
        <v>2328.1999999999998</v>
      </c>
      <c r="N130" s="56">
        <f>N131+N136</f>
        <v>0</v>
      </c>
      <c r="O130" s="61">
        <f>SUM(M130:N130)</f>
        <v>2328.1999999999998</v>
      </c>
      <c r="P130" s="56">
        <v>2328.1999999999998</v>
      </c>
      <c r="Q130" s="56">
        <f>Q131+Q136</f>
        <v>0</v>
      </c>
      <c r="R130" s="61">
        <f t="shared" si="32"/>
        <v>2328.1999999999998</v>
      </c>
      <c r="S130" s="61">
        <v>2328.1999999999998</v>
      </c>
      <c r="T130" s="61">
        <f>SUM(T131+T136)</f>
        <v>0</v>
      </c>
      <c r="U130" s="61">
        <f t="shared" si="33"/>
        <v>2328.1999999999998</v>
      </c>
      <c r="V130" s="58"/>
      <c r="W130" s="1"/>
    </row>
    <row r="131" spans="1:23" ht="32.25" customHeight="1" x14ac:dyDescent="0.25">
      <c r="A131" s="41"/>
      <c r="B131" s="34"/>
      <c r="C131" s="42"/>
      <c r="D131" s="157" t="s">
        <v>237</v>
      </c>
      <c r="E131" s="154"/>
      <c r="F131" s="154"/>
      <c r="G131" s="154"/>
      <c r="H131" s="154"/>
      <c r="I131" s="65" t="s">
        <v>76</v>
      </c>
      <c r="J131" s="66" t="s">
        <v>71</v>
      </c>
      <c r="K131" s="66" t="s">
        <v>23</v>
      </c>
      <c r="L131" s="66"/>
      <c r="M131" s="67">
        <f>M132+M133+M134+M135</f>
        <v>2183.1999999999998</v>
      </c>
      <c r="N131" s="67">
        <f>N132+N133+N134+N135</f>
        <v>0</v>
      </c>
      <c r="O131" s="67">
        <f>SUM(M131:N131)</f>
        <v>2183.1999999999998</v>
      </c>
      <c r="P131" s="67">
        <v>2183.1999999999998</v>
      </c>
      <c r="Q131" s="67">
        <f>Q132+Q133+Q134+Q135</f>
        <v>0</v>
      </c>
      <c r="R131" s="67">
        <f t="shared" si="32"/>
        <v>2183.1999999999998</v>
      </c>
      <c r="S131" s="67">
        <v>2183.1999999999998</v>
      </c>
      <c r="T131" s="67">
        <f>SUM(T132+T133+T134+T135)</f>
        <v>0</v>
      </c>
      <c r="U131" s="67">
        <f t="shared" si="33"/>
        <v>2183.1999999999998</v>
      </c>
      <c r="V131" s="68"/>
      <c r="W131" s="1"/>
    </row>
    <row r="132" spans="1:23" ht="56.25" hidden="1" customHeight="1" outlineLevel="1" x14ac:dyDescent="0.25">
      <c r="A132" s="41"/>
      <c r="B132" s="34"/>
      <c r="C132" s="42"/>
      <c r="D132" s="12"/>
      <c r="E132" s="156" t="s">
        <v>238</v>
      </c>
      <c r="F132" s="155"/>
      <c r="G132" s="155"/>
      <c r="H132" s="155"/>
      <c r="I132" s="13" t="s">
        <v>75</v>
      </c>
      <c r="J132" s="5" t="s">
        <v>71</v>
      </c>
      <c r="K132" s="5" t="s">
        <v>23</v>
      </c>
      <c r="L132" s="5" t="s">
        <v>13</v>
      </c>
      <c r="M132" s="17">
        <v>163.19999999999999</v>
      </c>
      <c r="N132" s="17"/>
      <c r="O132" s="17">
        <f t="shared" ref="O132:O139" si="34">SUM(M132:N132)</f>
        <v>163.19999999999999</v>
      </c>
      <c r="P132" s="17">
        <v>163.19999999999999</v>
      </c>
      <c r="Q132" s="17"/>
      <c r="R132" s="17">
        <f t="shared" si="32"/>
        <v>163.19999999999999</v>
      </c>
      <c r="S132" s="17">
        <v>163.19999999999999</v>
      </c>
      <c r="T132" s="17"/>
      <c r="U132" s="17">
        <f t="shared" ref="U132:U139" si="35">SUM(S132:T132)</f>
        <v>163.19999999999999</v>
      </c>
      <c r="V132" s="29"/>
      <c r="W132" s="1"/>
    </row>
    <row r="133" spans="1:23" ht="49.5" hidden="1" customHeight="1" outlineLevel="1" x14ac:dyDescent="0.25">
      <c r="A133" s="41"/>
      <c r="B133" s="34"/>
      <c r="C133" s="42"/>
      <c r="D133" s="12"/>
      <c r="E133" s="156" t="s">
        <v>239</v>
      </c>
      <c r="F133" s="155"/>
      <c r="G133" s="155"/>
      <c r="H133" s="155"/>
      <c r="I133" s="13" t="s">
        <v>74</v>
      </c>
      <c r="J133" s="5" t="s">
        <v>71</v>
      </c>
      <c r="K133" s="5" t="s">
        <v>23</v>
      </c>
      <c r="L133" s="5" t="s">
        <v>11</v>
      </c>
      <c r="M133" s="17">
        <v>0</v>
      </c>
      <c r="N133" s="17"/>
      <c r="O133" s="17">
        <f t="shared" si="34"/>
        <v>0</v>
      </c>
      <c r="P133" s="17">
        <v>0</v>
      </c>
      <c r="Q133" s="17"/>
      <c r="R133" s="17">
        <f t="shared" si="32"/>
        <v>0</v>
      </c>
      <c r="S133" s="17">
        <v>0</v>
      </c>
      <c r="T133" s="17"/>
      <c r="U133" s="17">
        <f t="shared" si="35"/>
        <v>0</v>
      </c>
      <c r="V133" s="8"/>
      <c r="W133" s="1"/>
    </row>
    <row r="134" spans="1:23" ht="78.75" hidden="1" customHeight="1" outlineLevel="1" x14ac:dyDescent="0.25">
      <c r="A134" s="41"/>
      <c r="B134" s="34"/>
      <c r="C134" s="42"/>
      <c r="D134" s="12"/>
      <c r="E134" s="156" t="s">
        <v>240</v>
      </c>
      <c r="F134" s="155"/>
      <c r="G134" s="155"/>
      <c r="H134" s="155"/>
      <c r="I134" s="13" t="s">
        <v>73</v>
      </c>
      <c r="J134" s="5" t="s">
        <v>71</v>
      </c>
      <c r="K134" s="5" t="s">
        <v>23</v>
      </c>
      <c r="L134" s="5" t="s">
        <v>26</v>
      </c>
      <c r="M134" s="17">
        <v>2000</v>
      </c>
      <c r="N134" s="17"/>
      <c r="O134" s="17">
        <f t="shared" si="34"/>
        <v>2000</v>
      </c>
      <c r="P134" s="17">
        <v>2000</v>
      </c>
      <c r="Q134" s="17"/>
      <c r="R134" s="17">
        <f t="shared" si="32"/>
        <v>2000</v>
      </c>
      <c r="S134" s="17">
        <v>2000</v>
      </c>
      <c r="T134" s="17"/>
      <c r="U134" s="17">
        <f t="shared" si="35"/>
        <v>2000</v>
      </c>
      <c r="V134" s="8"/>
      <c r="W134" s="1"/>
    </row>
    <row r="135" spans="1:23" ht="24.75" hidden="1" customHeight="1" outlineLevel="1" x14ac:dyDescent="0.25">
      <c r="A135" s="41"/>
      <c r="B135" s="34"/>
      <c r="C135" s="42"/>
      <c r="D135" s="12"/>
      <c r="E135" s="156" t="s">
        <v>241</v>
      </c>
      <c r="F135" s="155"/>
      <c r="G135" s="155"/>
      <c r="H135" s="155"/>
      <c r="I135" s="13" t="s">
        <v>72</v>
      </c>
      <c r="J135" s="5" t="s">
        <v>71</v>
      </c>
      <c r="K135" s="5" t="s">
        <v>23</v>
      </c>
      <c r="L135" s="5" t="s">
        <v>10</v>
      </c>
      <c r="M135" s="17">
        <v>20</v>
      </c>
      <c r="N135" s="17"/>
      <c r="O135" s="17">
        <f t="shared" si="34"/>
        <v>20</v>
      </c>
      <c r="P135" s="17">
        <v>20</v>
      </c>
      <c r="Q135" s="17"/>
      <c r="R135" s="17">
        <f t="shared" si="32"/>
        <v>20</v>
      </c>
      <c r="S135" s="17">
        <v>20</v>
      </c>
      <c r="T135" s="17"/>
      <c r="U135" s="17">
        <f t="shared" si="35"/>
        <v>20</v>
      </c>
      <c r="V135" s="8"/>
      <c r="W135" s="1"/>
    </row>
    <row r="136" spans="1:23" ht="42.75" customHeight="1" collapsed="1" x14ac:dyDescent="0.25">
      <c r="A136" s="41"/>
      <c r="B136" s="34"/>
      <c r="C136" s="42"/>
      <c r="D136" s="157" t="s">
        <v>242</v>
      </c>
      <c r="E136" s="154"/>
      <c r="F136" s="154"/>
      <c r="G136" s="154"/>
      <c r="H136" s="154"/>
      <c r="I136" s="65" t="s">
        <v>70</v>
      </c>
      <c r="J136" s="66" t="s">
        <v>71</v>
      </c>
      <c r="K136" s="66" t="s">
        <v>18</v>
      </c>
      <c r="L136" s="66" t="s">
        <v>4</v>
      </c>
      <c r="M136" s="67">
        <f>M137+M138+M139</f>
        <v>145</v>
      </c>
      <c r="N136" s="67">
        <f>N137+N138+N139</f>
        <v>0</v>
      </c>
      <c r="O136" s="67">
        <f>O137+O138+O139</f>
        <v>145</v>
      </c>
      <c r="P136" s="67">
        <v>145</v>
      </c>
      <c r="Q136" s="67">
        <f>Q137+Q138+Q139</f>
        <v>0</v>
      </c>
      <c r="R136" s="67">
        <f>R137+R138+R139</f>
        <v>145</v>
      </c>
      <c r="S136" s="67">
        <v>145</v>
      </c>
      <c r="T136" s="67">
        <f>SUM(T137+T138+T139)</f>
        <v>0</v>
      </c>
      <c r="U136" s="67">
        <f t="shared" si="35"/>
        <v>145</v>
      </c>
      <c r="V136" s="68"/>
      <c r="W136" s="1"/>
    </row>
    <row r="137" spans="1:23" ht="51" hidden="1" customHeight="1" outlineLevel="1" x14ac:dyDescent="0.25">
      <c r="A137" s="41"/>
      <c r="B137" s="34"/>
      <c r="C137" s="42"/>
      <c r="D137" s="12"/>
      <c r="E137" s="156" t="s">
        <v>243</v>
      </c>
      <c r="F137" s="155"/>
      <c r="G137" s="155"/>
      <c r="H137" s="155"/>
      <c r="I137" s="13" t="s">
        <v>70</v>
      </c>
      <c r="J137" s="5" t="s">
        <v>71</v>
      </c>
      <c r="K137" s="5" t="s">
        <v>18</v>
      </c>
      <c r="L137" s="5" t="s">
        <v>13</v>
      </c>
      <c r="M137" s="17">
        <v>80</v>
      </c>
      <c r="N137" s="17"/>
      <c r="O137" s="17">
        <f t="shared" si="34"/>
        <v>80</v>
      </c>
      <c r="P137" s="17">
        <v>80</v>
      </c>
      <c r="Q137" s="17"/>
      <c r="R137" s="17">
        <f t="shared" ref="R137:R152" si="36">SUM(P137:Q137)</f>
        <v>80</v>
      </c>
      <c r="S137" s="17">
        <v>80</v>
      </c>
      <c r="T137" s="17"/>
      <c r="U137" s="17">
        <f t="shared" si="35"/>
        <v>80</v>
      </c>
      <c r="V137" s="8"/>
      <c r="W137" s="1"/>
    </row>
    <row r="138" spans="1:23" ht="32.25" hidden="1" customHeight="1" outlineLevel="1" x14ac:dyDescent="0.25">
      <c r="A138" s="41"/>
      <c r="B138" s="1"/>
      <c r="C138" s="43"/>
      <c r="D138" s="12"/>
      <c r="E138" s="160" t="s">
        <v>350</v>
      </c>
      <c r="F138" s="160"/>
      <c r="G138" s="160"/>
      <c r="H138" s="161"/>
      <c r="I138" s="13"/>
      <c r="J138" s="5">
        <v>17</v>
      </c>
      <c r="K138" s="5">
        <v>2</v>
      </c>
      <c r="L138" s="9" t="s">
        <v>11</v>
      </c>
      <c r="M138" s="17">
        <v>45</v>
      </c>
      <c r="N138" s="17"/>
      <c r="O138" s="17">
        <f t="shared" si="34"/>
        <v>45</v>
      </c>
      <c r="P138" s="17">
        <v>45</v>
      </c>
      <c r="Q138" s="17"/>
      <c r="R138" s="17">
        <f t="shared" si="36"/>
        <v>45</v>
      </c>
      <c r="S138" s="17">
        <v>45</v>
      </c>
      <c r="T138" s="17"/>
      <c r="U138" s="17">
        <f t="shared" si="35"/>
        <v>45</v>
      </c>
      <c r="V138" s="29"/>
      <c r="W138" s="1"/>
    </row>
    <row r="139" spans="1:23" ht="32.25" hidden="1" customHeight="1" outlineLevel="1" x14ac:dyDescent="0.25">
      <c r="A139" s="41"/>
      <c r="B139" s="1"/>
      <c r="C139" s="43"/>
      <c r="D139" s="12"/>
      <c r="E139" s="160" t="s">
        <v>351</v>
      </c>
      <c r="F139" s="160"/>
      <c r="G139" s="160"/>
      <c r="H139" s="161"/>
      <c r="I139" s="13"/>
      <c r="J139" s="5">
        <v>17</v>
      </c>
      <c r="K139" s="5">
        <v>2</v>
      </c>
      <c r="L139" s="9" t="s">
        <v>10</v>
      </c>
      <c r="M139" s="17">
        <v>20</v>
      </c>
      <c r="N139" s="17"/>
      <c r="O139" s="17">
        <f t="shared" si="34"/>
        <v>20</v>
      </c>
      <c r="P139" s="17">
        <v>20</v>
      </c>
      <c r="Q139" s="17"/>
      <c r="R139" s="17">
        <f t="shared" si="36"/>
        <v>20</v>
      </c>
      <c r="S139" s="17">
        <v>20</v>
      </c>
      <c r="T139" s="17"/>
      <c r="U139" s="17">
        <f t="shared" si="35"/>
        <v>20</v>
      </c>
      <c r="V139" s="29"/>
      <c r="W139" s="1"/>
    </row>
    <row r="140" spans="1:23" ht="35.25" customHeight="1" collapsed="1" x14ac:dyDescent="0.25">
      <c r="A140" s="41"/>
      <c r="B140" s="1"/>
      <c r="D140" s="162" t="s">
        <v>300</v>
      </c>
      <c r="E140" s="163"/>
      <c r="F140" s="163"/>
      <c r="G140" s="163"/>
      <c r="H140" s="164"/>
      <c r="I140" s="53" t="s">
        <v>69</v>
      </c>
      <c r="J140" s="54" t="s">
        <v>60</v>
      </c>
      <c r="K140" s="54" t="s">
        <v>4</v>
      </c>
      <c r="L140" s="54" t="s">
        <v>4</v>
      </c>
      <c r="M140" s="56">
        <f>M141+M146+M148</f>
        <v>1400</v>
      </c>
      <c r="N140" s="56">
        <f>N141+N146+N148</f>
        <v>0</v>
      </c>
      <c r="O140" s="61">
        <f>SUM(M140:N140)</f>
        <v>1400</v>
      </c>
      <c r="P140" s="56">
        <v>1400</v>
      </c>
      <c r="Q140" s="56">
        <f>Q141+Q146+Q148</f>
        <v>0</v>
      </c>
      <c r="R140" s="61">
        <f t="shared" si="36"/>
        <v>1400</v>
      </c>
      <c r="S140" s="61">
        <v>1400</v>
      </c>
      <c r="T140" s="61">
        <f>SUM(T141+T146+T148)</f>
        <v>-0.2</v>
      </c>
      <c r="U140" s="61">
        <f>SUM(S140:T140)</f>
        <v>1399.8</v>
      </c>
      <c r="V140" s="58"/>
      <c r="W140" s="1"/>
    </row>
    <row r="141" spans="1:23" ht="84" customHeight="1" x14ac:dyDescent="0.25">
      <c r="A141" s="41"/>
      <c r="B141" s="34"/>
      <c r="C141" s="42"/>
      <c r="D141" s="157" t="s">
        <v>244</v>
      </c>
      <c r="E141" s="154"/>
      <c r="F141" s="154"/>
      <c r="G141" s="154"/>
      <c r="H141" s="154"/>
      <c r="I141" s="65" t="s">
        <v>68</v>
      </c>
      <c r="J141" s="66" t="s">
        <v>60</v>
      </c>
      <c r="K141" s="66" t="s">
        <v>23</v>
      </c>
      <c r="L141" s="66" t="s">
        <v>4</v>
      </c>
      <c r="M141" s="67">
        <f>M142+M143+M144+M145</f>
        <v>260</v>
      </c>
      <c r="N141" s="67">
        <f>N142+N143+N144+N145</f>
        <v>0</v>
      </c>
      <c r="O141" s="67">
        <f>SUM(M141:N141)</f>
        <v>260</v>
      </c>
      <c r="P141" s="67">
        <v>260</v>
      </c>
      <c r="Q141" s="67">
        <f>Q142+Q143+Q144+Q145</f>
        <v>0</v>
      </c>
      <c r="R141" s="67">
        <f t="shared" si="36"/>
        <v>260</v>
      </c>
      <c r="S141" s="67">
        <v>245</v>
      </c>
      <c r="T141" s="67">
        <f>SUM(T142+T143+T144+T145)</f>
        <v>0</v>
      </c>
      <c r="U141" s="67">
        <f>SUM(S141:T141)</f>
        <v>245</v>
      </c>
      <c r="V141" s="68"/>
      <c r="W141" s="1"/>
    </row>
    <row r="142" spans="1:23" ht="46.5" hidden="1" customHeight="1" outlineLevel="1" x14ac:dyDescent="0.25">
      <c r="A142" s="41"/>
      <c r="B142" s="34"/>
      <c r="C142" s="42"/>
      <c r="D142" s="12"/>
      <c r="E142" s="156" t="s">
        <v>245</v>
      </c>
      <c r="F142" s="155"/>
      <c r="G142" s="155"/>
      <c r="H142" s="155"/>
      <c r="I142" s="13" t="s">
        <v>67</v>
      </c>
      <c r="J142" s="5" t="s">
        <v>60</v>
      </c>
      <c r="K142" s="5" t="s">
        <v>23</v>
      </c>
      <c r="L142" s="5" t="s">
        <v>13</v>
      </c>
      <c r="M142" s="17">
        <v>130</v>
      </c>
      <c r="N142" s="17"/>
      <c r="O142" s="17">
        <f t="shared" ref="O142:O150" si="37">SUM(M142:N142)</f>
        <v>130</v>
      </c>
      <c r="P142" s="17">
        <v>130</v>
      </c>
      <c r="Q142" s="17"/>
      <c r="R142" s="17">
        <f t="shared" si="36"/>
        <v>130</v>
      </c>
      <c r="S142" s="17">
        <v>130</v>
      </c>
      <c r="T142" s="17"/>
      <c r="U142" s="17">
        <f t="shared" ref="U142:U150" si="38">SUM(S142:T142)</f>
        <v>130</v>
      </c>
      <c r="V142" s="8"/>
      <c r="W142" s="1"/>
    </row>
    <row r="143" spans="1:23" ht="45" hidden="1" customHeight="1" outlineLevel="1" x14ac:dyDescent="0.25">
      <c r="A143" s="41"/>
      <c r="B143" s="34"/>
      <c r="C143" s="42"/>
      <c r="D143" s="12"/>
      <c r="E143" s="156" t="s">
        <v>246</v>
      </c>
      <c r="F143" s="155"/>
      <c r="G143" s="155"/>
      <c r="H143" s="155"/>
      <c r="I143" s="13" t="s">
        <v>66</v>
      </c>
      <c r="J143" s="5" t="s">
        <v>60</v>
      </c>
      <c r="K143" s="5" t="s">
        <v>23</v>
      </c>
      <c r="L143" s="5" t="s">
        <v>11</v>
      </c>
      <c r="M143" s="17">
        <v>100</v>
      </c>
      <c r="N143" s="17"/>
      <c r="O143" s="17">
        <f t="shared" si="37"/>
        <v>100</v>
      </c>
      <c r="P143" s="17">
        <v>100</v>
      </c>
      <c r="Q143" s="17"/>
      <c r="R143" s="17">
        <f t="shared" si="36"/>
        <v>100</v>
      </c>
      <c r="S143" s="17">
        <v>100</v>
      </c>
      <c r="T143" s="17"/>
      <c r="U143" s="17">
        <f t="shared" si="38"/>
        <v>100</v>
      </c>
      <c r="V143" s="8"/>
      <c r="W143" s="1"/>
    </row>
    <row r="144" spans="1:23" ht="48.75" hidden="1" customHeight="1" outlineLevel="1" x14ac:dyDescent="0.25">
      <c r="A144" s="41"/>
      <c r="B144" s="34"/>
      <c r="C144" s="42"/>
      <c r="D144" s="12"/>
      <c r="E144" s="156" t="s">
        <v>247</v>
      </c>
      <c r="F144" s="155"/>
      <c r="G144" s="155"/>
      <c r="H144" s="155"/>
      <c r="I144" s="13" t="s">
        <v>65</v>
      </c>
      <c r="J144" s="5" t="s">
        <v>60</v>
      </c>
      <c r="K144" s="5" t="s">
        <v>23</v>
      </c>
      <c r="L144" s="5" t="s">
        <v>26</v>
      </c>
      <c r="M144" s="17">
        <v>0</v>
      </c>
      <c r="N144" s="17"/>
      <c r="O144" s="17">
        <f t="shared" si="37"/>
        <v>0</v>
      </c>
      <c r="P144" s="17">
        <v>0</v>
      </c>
      <c r="Q144" s="17"/>
      <c r="R144" s="17">
        <f t="shared" si="36"/>
        <v>0</v>
      </c>
      <c r="S144" s="17">
        <v>0</v>
      </c>
      <c r="T144" s="17"/>
      <c r="U144" s="17">
        <f t="shared" si="38"/>
        <v>0</v>
      </c>
      <c r="V144" s="8"/>
      <c r="W144" s="1"/>
    </row>
    <row r="145" spans="1:34" ht="73.5" hidden="1" customHeight="1" outlineLevel="1" x14ac:dyDescent="0.25">
      <c r="A145" s="41"/>
      <c r="B145" s="34"/>
      <c r="C145" s="42"/>
      <c r="D145" s="12"/>
      <c r="E145" s="156" t="s">
        <v>248</v>
      </c>
      <c r="F145" s="155"/>
      <c r="G145" s="155"/>
      <c r="H145" s="155"/>
      <c r="I145" s="13" t="s">
        <v>64</v>
      </c>
      <c r="J145" s="5" t="s">
        <v>60</v>
      </c>
      <c r="K145" s="5" t="s">
        <v>23</v>
      </c>
      <c r="L145" s="5" t="s">
        <v>7</v>
      </c>
      <c r="M145" s="17">
        <v>30</v>
      </c>
      <c r="N145" s="17"/>
      <c r="O145" s="17">
        <f t="shared" si="37"/>
        <v>30</v>
      </c>
      <c r="P145" s="17">
        <v>30</v>
      </c>
      <c r="Q145" s="17"/>
      <c r="R145" s="17">
        <f t="shared" si="36"/>
        <v>30</v>
      </c>
      <c r="S145" s="17">
        <v>15</v>
      </c>
      <c r="T145" s="17"/>
      <c r="U145" s="17">
        <f t="shared" si="38"/>
        <v>15</v>
      </c>
      <c r="V145" s="8"/>
      <c r="W145" s="1"/>
    </row>
    <row r="146" spans="1:34" ht="39.75" customHeight="1" collapsed="1" x14ac:dyDescent="0.25">
      <c r="A146" s="41"/>
      <c r="B146" s="34"/>
      <c r="C146" s="42"/>
      <c r="D146" s="157" t="s">
        <v>249</v>
      </c>
      <c r="E146" s="154"/>
      <c r="F146" s="154"/>
      <c r="G146" s="154"/>
      <c r="H146" s="154"/>
      <c r="I146" s="65" t="s">
        <v>63</v>
      </c>
      <c r="J146" s="66" t="s">
        <v>60</v>
      </c>
      <c r="K146" s="66" t="s">
        <v>18</v>
      </c>
      <c r="L146" s="66" t="s">
        <v>4</v>
      </c>
      <c r="M146" s="67">
        <f>M147</f>
        <v>20</v>
      </c>
      <c r="N146" s="67">
        <f>N147</f>
        <v>0</v>
      </c>
      <c r="O146" s="67">
        <f>SUM(M146:N146)</f>
        <v>20</v>
      </c>
      <c r="P146" s="67">
        <v>20</v>
      </c>
      <c r="Q146" s="67">
        <f>Q147</f>
        <v>0</v>
      </c>
      <c r="R146" s="67">
        <f t="shared" si="36"/>
        <v>20</v>
      </c>
      <c r="S146" s="67">
        <v>35</v>
      </c>
      <c r="T146" s="67">
        <f>SUM(T147)</f>
        <v>0</v>
      </c>
      <c r="U146" s="67">
        <f t="shared" si="38"/>
        <v>35</v>
      </c>
      <c r="V146" s="68"/>
      <c r="W146" s="1"/>
    </row>
    <row r="147" spans="1:34" ht="56.25" hidden="1" customHeight="1" outlineLevel="1" x14ac:dyDescent="0.25">
      <c r="A147" s="41"/>
      <c r="B147" s="34"/>
      <c r="C147" s="42"/>
      <c r="D147" s="12"/>
      <c r="E147" s="155" t="s">
        <v>250</v>
      </c>
      <c r="F147" s="155"/>
      <c r="G147" s="155"/>
      <c r="H147" s="155"/>
      <c r="I147" s="13" t="s">
        <v>63</v>
      </c>
      <c r="J147" s="5" t="s">
        <v>60</v>
      </c>
      <c r="K147" s="5" t="s">
        <v>18</v>
      </c>
      <c r="L147" s="5" t="s">
        <v>13</v>
      </c>
      <c r="M147" s="17">
        <v>20</v>
      </c>
      <c r="N147" s="17"/>
      <c r="O147" s="17">
        <f t="shared" si="37"/>
        <v>20</v>
      </c>
      <c r="P147" s="17">
        <v>20</v>
      </c>
      <c r="Q147" s="17"/>
      <c r="R147" s="17">
        <f t="shared" si="36"/>
        <v>20</v>
      </c>
      <c r="S147" s="17">
        <v>35</v>
      </c>
      <c r="T147" s="17"/>
      <c r="U147" s="17">
        <f t="shared" si="38"/>
        <v>35</v>
      </c>
      <c r="V147" s="8"/>
      <c r="W147" s="1"/>
    </row>
    <row r="148" spans="1:34" ht="34.5" customHeight="1" collapsed="1" x14ac:dyDescent="0.25">
      <c r="A148" s="41"/>
      <c r="B148" s="34"/>
      <c r="C148" s="42"/>
      <c r="D148" s="157" t="s">
        <v>251</v>
      </c>
      <c r="E148" s="154"/>
      <c r="F148" s="154"/>
      <c r="G148" s="154"/>
      <c r="H148" s="154"/>
      <c r="I148" s="65" t="s">
        <v>62</v>
      </c>
      <c r="J148" s="66" t="s">
        <v>60</v>
      </c>
      <c r="K148" s="66" t="s">
        <v>27</v>
      </c>
      <c r="L148" s="66" t="s">
        <v>4</v>
      </c>
      <c r="M148" s="67">
        <f>M149+M150</f>
        <v>1120</v>
      </c>
      <c r="N148" s="67">
        <f>N149+N150</f>
        <v>0</v>
      </c>
      <c r="O148" s="67">
        <f>SUM(M148:N148)</f>
        <v>1120</v>
      </c>
      <c r="P148" s="67">
        <v>1120</v>
      </c>
      <c r="Q148" s="67">
        <f>Q149+Q150</f>
        <v>0</v>
      </c>
      <c r="R148" s="67">
        <f t="shared" si="36"/>
        <v>1120</v>
      </c>
      <c r="S148" s="67">
        <v>1120</v>
      </c>
      <c r="T148" s="67">
        <f>SUM(T149+T150)</f>
        <v>-0.2</v>
      </c>
      <c r="U148" s="67">
        <f t="shared" si="38"/>
        <v>1119.8</v>
      </c>
      <c r="V148" s="68" t="s">
        <v>436</v>
      </c>
      <c r="W148" s="1"/>
    </row>
    <row r="149" spans="1:34" ht="26.25" hidden="1" customHeight="1" outlineLevel="1" x14ac:dyDescent="0.25">
      <c r="A149" s="41"/>
      <c r="B149" s="34"/>
      <c r="C149" s="42"/>
      <c r="D149" s="12"/>
      <c r="E149" s="156" t="s">
        <v>252</v>
      </c>
      <c r="F149" s="155"/>
      <c r="G149" s="155"/>
      <c r="H149" s="155"/>
      <c r="I149" s="13" t="s">
        <v>61</v>
      </c>
      <c r="J149" s="5" t="s">
        <v>60</v>
      </c>
      <c r="K149" s="5" t="s">
        <v>27</v>
      </c>
      <c r="L149" s="5" t="s">
        <v>13</v>
      </c>
      <c r="M149" s="17">
        <v>20</v>
      </c>
      <c r="N149" s="17"/>
      <c r="O149" s="17">
        <f t="shared" si="37"/>
        <v>20</v>
      </c>
      <c r="P149" s="17">
        <v>20</v>
      </c>
      <c r="Q149" s="17"/>
      <c r="R149" s="17">
        <f t="shared" si="36"/>
        <v>20</v>
      </c>
      <c r="S149" s="17">
        <v>20</v>
      </c>
      <c r="T149" s="17"/>
      <c r="U149" s="17">
        <f t="shared" si="38"/>
        <v>20</v>
      </c>
      <c r="V149" s="8"/>
      <c r="W149" s="1"/>
    </row>
    <row r="150" spans="1:34" ht="76.5" hidden="1" customHeight="1" outlineLevel="1" x14ac:dyDescent="0.25">
      <c r="A150" s="41"/>
      <c r="B150" s="34"/>
      <c r="C150" s="42"/>
      <c r="D150" s="12"/>
      <c r="E150" s="155" t="s">
        <v>345</v>
      </c>
      <c r="F150" s="155"/>
      <c r="G150" s="155"/>
      <c r="H150" s="155"/>
      <c r="I150" s="13" t="s">
        <v>59</v>
      </c>
      <c r="J150" s="5" t="s">
        <v>60</v>
      </c>
      <c r="K150" s="5" t="s">
        <v>27</v>
      </c>
      <c r="L150" s="5" t="s">
        <v>11</v>
      </c>
      <c r="M150" s="17">
        <v>1100</v>
      </c>
      <c r="N150" s="17"/>
      <c r="O150" s="17">
        <f t="shared" si="37"/>
        <v>1100</v>
      </c>
      <c r="P150" s="17">
        <v>1100</v>
      </c>
      <c r="Q150" s="17"/>
      <c r="R150" s="17">
        <f t="shared" si="36"/>
        <v>1100</v>
      </c>
      <c r="S150" s="17">
        <v>1100</v>
      </c>
      <c r="T150" s="17">
        <f>-0.2</f>
        <v>-0.2</v>
      </c>
      <c r="U150" s="17">
        <f t="shared" si="38"/>
        <v>1099.8</v>
      </c>
      <c r="V150" s="8" t="s">
        <v>436</v>
      </c>
      <c r="W150" s="1">
        <v>0</v>
      </c>
      <c r="X150" s="78"/>
      <c r="AB150" s="78"/>
    </row>
    <row r="151" spans="1:34" ht="57" customHeight="1" collapsed="1" x14ac:dyDescent="0.25">
      <c r="A151" s="41"/>
      <c r="B151" s="1"/>
      <c r="D151" s="162" t="s">
        <v>301</v>
      </c>
      <c r="E151" s="163"/>
      <c r="F151" s="163"/>
      <c r="G151" s="163"/>
      <c r="H151" s="164"/>
      <c r="I151" s="53" t="s">
        <v>58</v>
      </c>
      <c r="J151" s="54" t="s">
        <v>41</v>
      </c>
      <c r="K151" s="62" t="s">
        <v>4</v>
      </c>
      <c r="L151" s="62" t="s">
        <v>4</v>
      </c>
      <c r="M151" s="63">
        <f>M152+M162+M169+M173</f>
        <v>2521498.9999999995</v>
      </c>
      <c r="N151" s="63">
        <f>N152+N162+N169+N173</f>
        <v>5338.2</v>
      </c>
      <c r="O151" s="61">
        <f>SUM(M151:N151)</f>
        <v>2526837.1999999997</v>
      </c>
      <c r="P151" s="63">
        <v>2526837.1999999997</v>
      </c>
      <c r="Q151" s="63">
        <f>Q152+Q162+Q169+Q173</f>
        <v>19128</v>
      </c>
      <c r="R151" s="61">
        <f t="shared" si="36"/>
        <v>2545965.1999999997</v>
      </c>
      <c r="S151" s="61">
        <v>2588897.9999999995</v>
      </c>
      <c r="T151" s="61">
        <f>T152+T162+T169+T173</f>
        <v>46748.899999999994</v>
      </c>
      <c r="U151" s="61">
        <f>S151+T151</f>
        <v>2635646.8999999994</v>
      </c>
      <c r="V151" s="57"/>
      <c r="W151" s="1"/>
    </row>
    <row r="152" spans="1:34" ht="20.25" customHeight="1" x14ac:dyDescent="0.25">
      <c r="A152" s="41"/>
      <c r="B152" s="34"/>
      <c r="C152" s="42"/>
      <c r="D152" s="183" t="s">
        <v>339</v>
      </c>
      <c r="E152" s="184"/>
      <c r="F152" s="184"/>
      <c r="G152" s="184"/>
      <c r="H152" s="185"/>
      <c r="I152" s="158" t="s">
        <v>57</v>
      </c>
      <c r="J152" s="149">
        <v>20</v>
      </c>
      <c r="K152" s="149" t="s">
        <v>23</v>
      </c>
      <c r="L152" s="151" t="s">
        <v>4</v>
      </c>
      <c r="M152" s="147">
        <f>M154+M155+M156+M157+M158+M159+M160</f>
        <v>2413328.4</v>
      </c>
      <c r="N152" s="147">
        <f>N154+N155+N156+N157+N158+N159+N160</f>
        <v>330</v>
      </c>
      <c r="O152" s="147">
        <f>SUM(M152:N152)</f>
        <v>2413658.4</v>
      </c>
      <c r="P152" s="147">
        <v>2413658.4</v>
      </c>
      <c r="Q152" s="147">
        <f>Q154+Q155+Q156+Q157+Q158+Q159+Q160</f>
        <v>16057.199999999999</v>
      </c>
      <c r="R152" s="147">
        <f t="shared" si="36"/>
        <v>2429715.6</v>
      </c>
      <c r="S152" s="94">
        <v>2449319</v>
      </c>
      <c r="T152" s="94">
        <f>T154+T155+T156+T157+T158+T159+T160+T161</f>
        <v>43970.799999999996</v>
      </c>
      <c r="U152" s="94">
        <f>S152+T152</f>
        <v>2493289.7999999998</v>
      </c>
      <c r="V152" s="196" t="s">
        <v>447</v>
      </c>
      <c r="W152" s="1"/>
    </row>
    <row r="153" spans="1:34" ht="225" customHeight="1" x14ac:dyDescent="0.25">
      <c r="A153" s="41"/>
      <c r="B153" s="34"/>
      <c r="C153" s="42"/>
      <c r="D153" s="186"/>
      <c r="E153" s="187"/>
      <c r="F153" s="187"/>
      <c r="G153" s="187"/>
      <c r="H153" s="188"/>
      <c r="I153" s="159"/>
      <c r="J153" s="150"/>
      <c r="K153" s="150"/>
      <c r="L153" s="152"/>
      <c r="M153" s="148"/>
      <c r="N153" s="148"/>
      <c r="O153" s="148"/>
      <c r="P153" s="148"/>
      <c r="Q153" s="148"/>
      <c r="R153" s="148"/>
      <c r="S153" s="95"/>
      <c r="T153" s="95"/>
      <c r="U153" s="95"/>
      <c r="V153" s="197"/>
      <c r="W153" s="1"/>
      <c r="X153" s="44"/>
    </row>
    <row r="154" spans="1:34" ht="67.5" hidden="1" customHeight="1" outlineLevel="1" x14ac:dyDescent="0.25">
      <c r="A154" s="41"/>
      <c r="B154" s="34"/>
      <c r="C154" s="42"/>
      <c r="D154" s="12"/>
      <c r="E154" s="156" t="s">
        <v>253</v>
      </c>
      <c r="F154" s="155"/>
      <c r="G154" s="155"/>
      <c r="H154" s="155"/>
      <c r="I154" s="13" t="s">
        <v>56</v>
      </c>
      <c r="J154" s="5" t="s">
        <v>41</v>
      </c>
      <c r="K154" s="5" t="s">
        <v>23</v>
      </c>
      <c r="L154" s="5" t="s">
        <v>13</v>
      </c>
      <c r="M154" s="17">
        <v>33361.5</v>
      </c>
      <c r="N154" s="17"/>
      <c r="O154" s="17">
        <f t="shared" ref="O154:O176" si="39">SUM(M154:N154)</f>
        <v>33361.5</v>
      </c>
      <c r="P154" s="17">
        <v>33361.5</v>
      </c>
      <c r="Q154" s="17"/>
      <c r="R154" s="17">
        <f t="shared" ref="R154:R161" si="40">SUM(P154:Q154)</f>
        <v>33361.5</v>
      </c>
      <c r="S154" s="17">
        <v>33761.199999999997</v>
      </c>
      <c r="T154" s="17">
        <f>2206.3-49.9</f>
        <v>2156.4</v>
      </c>
      <c r="U154" s="17">
        <f>SUM(S154:T154)</f>
        <v>35917.599999999999</v>
      </c>
      <c r="V154" s="28" t="s">
        <v>441</v>
      </c>
      <c r="W154" s="1"/>
    </row>
    <row r="155" spans="1:34" ht="175.5" hidden="1" customHeight="1" outlineLevel="1" x14ac:dyDescent="0.25">
      <c r="A155" s="41"/>
      <c r="B155" s="34"/>
      <c r="C155" s="42"/>
      <c r="D155" s="12"/>
      <c r="E155" s="156" t="s">
        <v>254</v>
      </c>
      <c r="F155" s="155"/>
      <c r="G155" s="155"/>
      <c r="H155" s="155"/>
      <c r="I155" s="13" t="s">
        <v>55</v>
      </c>
      <c r="J155" s="5" t="s">
        <v>41</v>
      </c>
      <c r="K155" s="5" t="s">
        <v>23</v>
      </c>
      <c r="L155" s="5" t="s">
        <v>11</v>
      </c>
      <c r="M155" s="17">
        <v>2169569.1</v>
      </c>
      <c r="N155" s="17">
        <f>330</f>
        <v>330</v>
      </c>
      <c r="O155" s="17">
        <f t="shared" si="39"/>
        <v>2169899.1</v>
      </c>
      <c r="P155" s="17">
        <v>2169899.1</v>
      </c>
      <c r="Q155" s="17">
        <f>15865.8+505.4-1044-117.1+1096.6+6.7-745</f>
        <v>15568.4</v>
      </c>
      <c r="R155" s="17">
        <f t="shared" si="40"/>
        <v>2185467.5</v>
      </c>
      <c r="S155" s="17">
        <v>2216866.5</v>
      </c>
      <c r="T155" s="17">
        <f>300+41010+2124.7-49.9-953.6</f>
        <v>42431.199999999997</v>
      </c>
      <c r="U155" s="17">
        <f>SUM(S155:T155)</f>
        <v>2259297.7000000002</v>
      </c>
      <c r="V155" s="8" t="s">
        <v>443</v>
      </c>
      <c r="W155" s="1"/>
      <c r="AC155" s="78"/>
      <c r="AD155" s="78"/>
      <c r="AH155" s="78"/>
    </row>
    <row r="156" spans="1:34" ht="57" hidden="1" customHeight="1" outlineLevel="1" x14ac:dyDescent="0.25">
      <c r="A156" s="41"/>
      <c r="B156" s="34"/>
      <c r="C156" s="42"/>
      <c r="D156" s="12"/>
      <c r="E156" s="156" t="s">
        <v>255</v>
      </c>
      <c r="F156" s="155"/>
      <c r="G156" s="155"/>
      <c r="H156" s="155"/>
      <c r="I156" s="13" t="s">
        <v>54</v>
      </c>
      <c r="J156" s="5" t="s">
        <v>41</v>
      </c>
      <c r="K156" s="5" t="s">
        <v>23</v>
      </c>
      <c r="L156" s="5" t="s">
        <v>26</v>
      </c>
      <c r="M156" s="17">
        <v>33515</v>
      </c>
      <c r="N156" s="17"/>
      <c r="O156" s="17">
        <f t="shared" si="39"/>
        <v>33515</v>
      </c>
      <c r="P156" s="17">
        <v>33515</v>
      </c>
      <c r="Q156" s="17"/>
      <c r="R156" s="17">
        <f t="shared" si="40"/>
        <v>33515</v>
      </c>
      <c r="S156" s="17">
        <v>33515</v>
      </c>
      <c r="T156" s="17"/>
      <c r="U156" s="17">
        <f t="shared" ref="U156:U161" si="41">SUM(S156:T156)</f>
        <v>33515</v>
      </c>
      <c r="V156" s="82"/>
      <c r="W156" s="1"/>
    </row>
    <row r="157" spans="1:34" ht="73.5" hidden="1" customHeight="1" outlineLevel="1" x14ac:dyDescent="0.25">
      <c r="A157" s="41"/>
      <c r="B157" s="34"/>
      <c r="C157" s="42"/>
      <c r="D157" s="12"/>
      <c r="E157" s="156" t="s">
        <v>256</v>
      </c>
      <c r="F157" s="155"/>
      <c r="G157" s="155"/>
      <c r="H157" s="155"/>
      <c r="I157" s="13" t="s">
        <v>53</v>
      </c>
      <c r="J157" s="5" t="s">
        <v>41</v>
      </c>
      <c r="K157" s="5" t="s">
        <v>23</v>
      </c>
      <c r="L157" s="5" t="s">
        <v>10</v>
      </c>
      <c r="M157" s="17">
        <v>0</v>
      </c>
      <c r="N157" s="17"/>
      <c r="O157" s="17">
        <f t="shared" si="39"/>
        <v>0</v>
      </c>
      <c r="P157" s="17">
        <v>0</v>
      </c>
      <c r="Q157" s="17"/>
      <c r="R157" s="17">
        <f t="shared" si="40"/>
        <v>0</v>
      </c>
      <c r="S157" s="17">
        <v>0</v>
      </c>
      <c r="T157" s="17"/>
      <c r="U157" s="17">
        <f t="shared" si="41"/>
        <v>0</v>
      </c>
      <c r="V157" s="8"/>
      <c r="W157" s="1"/>
    </row>
    <row r="158" spans="1:34" ht="43.5" hidden="1" customHeight="1" outlineLevel="1" x14ac:dyDescent="0.25">
      <c r="A158" s="41"/>
      <c r="B158" s="34"/>
      <c r="C158" s="42"/>
      <c r="D158" s="12"/>
      <c r="E158" s="156" t="s">
        <v>257</v>
      </c>
      <c r="F158" s="155"/>
      <c r="G158" s="155"/>
      <c r="H158" s="155"/>
      <c r="I158" s="13" t="s">
        <v>52</v>
      </c>
      <c r="J158" s="5" t="s">
        <v>41</v>
      </c>
      <c r="K158" s="5" t="s">
        <v>23</v>
      </c>
      <c r="L158" s="5" t="s">
        <v>7</v>
      </c>
      <c r="M158" s="17">
        <v>2500</v>
      </c>
      <c r="N158" s="17"/>
      <c r="O158" s="17">
        <f t="shared" si="39"/>
        <v>2500</v>
      </c>
      <c r="P158" s="17">
        <v>2500</v>
      </c>
      <c r="Q158" s="17"/>
      <c r="R158" s="17">
        <f t="shared" si="40"/>
        <v>2500</v>
      </c>
      <c r="S158" s="17">
        <v>2650</v>
      </c>
      <c r="T158" s="17">
        <v>-114.5</v>
      </c>
      <c r="U158" s="17">
        <f t="shared" si="41"/>
        <v>2535.5</v>
      </c>
      <c r="V158" s="8" t="s">
        <v>444</v>
      </c>
      <c r="W158" s="1"/>
    </row>
    <row r="159" spans="1:34" ht="63.75" hidden="1" customHeight="1" outlineLevel="1" x14ac:dyDescent="0.25">
      <c r="A159" s="41"/>
      <c r="B159" s="34"/>
      <c r="C159" s="42"/>
      <c r="D159" s="12"/>
      <c r="E159" s="156" t="s">
        <v>258</v>
      </c>
      <c r="F159" s="155"/>
      <c r="G159" s="155"/>
      <c r="H159" s="155"/>
      <c r="I159" s="13" t="s">
        <v>51</v>
      </c>
      <c r="J159" s="5" t="s">
        <v>41</v>
      </c>
      <c r="K159" s="5" t="s">
        <v>23</v>
      </c>
      <c r="L159" s="5" t="s">
        <v>5</v>
      </c>
      <c r="M159" s="17">
        <v>13108.4</v>
      </c>
      <c r="N159" s="17"/>
      <c r="O159" s="17">
        <f t="shared" si="39"/>
        <v>13108.4</v>
      </c>
      <c r="P159" s="17">
        <v>13108.4</v>
      </c>
      <c r="Q159" s="17">
        <f>488.8</f>
        <v>488.8</v>
      </c>
      <c r="R159" s="17">
        <f t="shared" si="40"/>
        <v>13597.199999999999</v>
      </c>
      <c r="S159" s="17">
        <v>13623.8</v>
      </c>
      <c r="T159" s="17">
        <f>494+1068.1</f>
        <v>1562.1</v>
      </c>
      <c r="U159" s="17">
        <f t="shared" si="41"/>
        <v>15185.9</v>
      </c>
      <c r="V159" s="8" t="s">
        <v>442</v>
      </c>
      <c r="W159" s="1"/>
    </row>
    <row r="160" spans="1:34" ht="87.75" hidden="1" customHeight="1" outlineLevel="1" x14ac:dyDescent="0.25">
      <c r="A160" s="41"/>
      <c r="B160" s="34"/>
      <c r="C160" s="42"/>
      <c r="D160" s="12"/>
      <c r="E160" s="156" t="s">
        <v>259</v>
      </c>
      <c r="F160" s="155"/>
      <c r="G160" s="155"/>
      <c r="H160" s="155"/>
      <c r="I160" s="13" t="s">
        <v>50</v>
      </c>
      <c r="J160" s="5" t="s">
        <v>41</v>
      </c>
      <c r="K160" s="5" t="s">
        <v>23</v>
      </c>
      <c r="L160" s="5" t="s">
        <v>1</v>
      </c>
      <c r="M160" s="17">
        <v>161274.4</v>
      </c>
      <c r="N160" s="17"/>
      <c r="O160" s="17">
        <f t="shared" si="39"/>
        <v>161274.4</v>
      </c>
      <c r="P160" s="17">
        <v>161274.4</v>
      </c>
      <c r="Q160" s="17"/>
      <c r="R160" s="17">
        <f t="shared" si="40"/>
        <v>161274.4</v>
      </c>
      <c r="S160" s="17">
        <v>148902.5</v>
      </c>
      <c r="T160" s="17">
        <v>-2064.4</v>
      </c>
      <c r="U160" s="17">
        <f t="shared" si="41"/>
        <v>146838.1</v>
      </c>
      <c r="V160" s="8" t="s">
        <v>388</v>
      </c>
      <c r="W160" s="1" t="s">
        <v>297</v>
      </c>
    </row>
    <row r="161" spans="1:23" ht="38.25" hidden="1" customHeight="1" outlineLevel="1" x14ac:dyDescent="0.25">
      <c r="A161" s="41"/>
      <c r="B161" s="34"/>
      <c r="C161" s="42"/>
      <c r="D161" s="12"/>
      <c r="E161" s="189" t="s">
        <v>359</v>
      </c>
      <c r="F161" s="181"/>
      <c r="G161" s="181"/>
      <c r="H161" s="182"/>
      <c r="I161" s="13"/>
      <c r="J161" s="5">
        <v>20</v>
      </c>
      <c r="K161" s="5">
        <v>1</v>
      </c>
      <c r="L161" s="5">
        <v>8</v>
      </c>
      <c r="M161" s="17">
        <v>0</v>
      </c>
      <c r="N161" s="17"/>
      <c r="O161" s="17">
        <f t="shared" si="39"/>
        <v>0</v>
      </c>
      <c r="P161" s="17">
        <v>0</v>
      </c>
      <c r="Q161" s="17"/>
      <c r="R161" s="17">
        <f t="shared" si="40"/>
        <v>0</v>
      </c>
      <c r="S161" s="17">
        <v>0</v>
      </c>
      <c r="T161" s="17"/>
      <c r="U161" s="17">
        <f t="shared" si="41"/>
        <v>0</v>
      </c>
      <c r="V161" s="8"/>
      <c r="W161" s="1"/>
    </row>
    <row r="162" spans="1:23" ht="73.5" customHeight="1" collapsed="1" x14ac:dyDescent="0.25">
      <c r="A162" s="41"/>
      <c r="B162" s="34"/>
      <c r="C162" s="42"/>
      <c r="D162" s="153" t="s">
        <v>302</v>
      </c>
      <c r="E162" s="154"/>
      <c r="F162" s="154"/>
      <c r="G162" s="154"/>
      <c r="H162" s="154"/>
      <c r="I162" s="65" t="s">
        <v>49</v>
      </c>
      <c r="J162" s="66" t="s">
        <v>41</v>
      </c>
      <c r="K162" s="66" t="s">
        <v>18</v>
      </c>
      <c r="L162" s="66" t="s">
        <v>4</v>
      </c>
      <c r="M162" s="67">
        <f>M163+M164+M165+M166+M167+M168</f>
        <v>11905.3</v>
      </c>
      <c r="N162" s="67">
        <f>N163+N164+N165+N166+N167+N168</f>
        <v>0</v>
      </c>
      <c r="O162" s="67">
        <f>SUM(M162:N162)</f>
        <v>11905.3</v>
      </c>
      <c r="P162" s="67">
        <v>11905.3</v>
      </c>
      <c r="Q162" s="67">
        <f>Q163+Q164+Q165+Q166+Q167+Q168</f>
        <v>2361.1</v>
      </c>
      <c r="R162" s="67">
        <f t="shared" ref="R162:R174" si="42">SUM(P162:Q162)</f>
        <v>14266.4</v>
      </c>
      <c r="S162" s="67">
        <v>14937.699999999999</v>
      </c>
      <c r="T162" s="67">
        <f>T163+T164+T165+T166+T167+T168</f>
        <v>46.199999999999996</v>
      </c>
      <c r="U162" s="67">
        <f t="shared" ref="U162:U174" si="43">S162+T162</f>
        <v>14983.9</v>
      </c>
      <c r="V162" s="68" t="s">
        <v>399</v>
      </c>
      <c r="W162" s="1"/>
    </row>
    <row r="163" spans="1:23" ht="63" hidden="1" customHeight="1" outlineLevel="1" x14ac:dyDescent="0.25">
      <c r="A163" s="41"/>
      <c r="B163" s="34"/>
      <c r="C163" s="42"/>
      <c r="D163" s="12"/>
      <c r="E163" s="156" t="s">
        <v>260</v>
      </c>
      <c r="F163" s="155"/>
      <c r="G163" s="155"/>
      <c r="H163" s="155"/>
      <c r="I163" s="13">
        <v>2020199990</v>
      </c>
      <c r="J163" s="5" t="s">
        <v>41</v>
      </c>
      <c r="K163" s="5" t="s">
        <v>18</v>
      </c>
      <c r="L163" s="5" t="s">
        <v>13</v>
      </c>
      <c r="M163" s="17">
        <v>7900</v>
      </c>
      <c r="N163" s="17">
        <f>125.6</f>
        <v>125.6</v>
      </c>
      <c r="O163" s="17">
        <f t="shared" si="39"/>
        <v>8025.6</v>
      </c>
      <c r="P163" s="17">
        <v>8025.6</v>
      </c>
      <c r="Q163" s="17">
        <f>1044+117.1+455+745</f>
        <v>2361.1</v>
      </c>
      <c r="R163" s="17">
        <f t="shared" si="42"/>
        <v>10386.700000000001</v>
      </c>
      <c r="S163" s="17">
        <v>11058</v>
      </c>
      <c r="T163" s="17">
        <f>49.9-3.7</f>
        <v>46.199999999999996</v>
      </c>
      <c r="U163" s="17">
        <f t="shared" si="43"/>
        <v>11104.2</v>
      </c>
      <c r="V163" s="8" t="s">
        <v>399</v>
      </c>
      <c r="W163" s="1"/>
    </row>
    <row r="164" spans="1:23" ht="46.5" hidden="1" customHeight="1" outlineLevel="1" x14ac:dyDescent="0.25">
      <c r="A164" s="41"/>
      <c r="B164" s="34"/>
      <c r="C164" s="42"/>
      <c r="D164" s="12"/>
      <c r="E164" s="155" t="s">
        <v>362</v>
      </c>
      <c r="F164" s="155"/>
      <c r="G164" s="155"/>
      <c r="H164" s="155"/>
      <c r="I164" s="18" t="s">
        <v>344</v>
      </c>
      <c r="J164" s="9" t="s">
        <v>41</v>
      </c>
      <c r="K164" s="9" t="s">
        <v>18</v>
      </c>
      <c r="L164" s="9" t="s">
        <v>11</v>
      </c>
      <c r="M164" s="17">
        <v>2005.3</v>
      </c>
      <c r="N164" s="17"/>
      <c r="O164" s="17">
        <f t="shared" si="39"/>
        <v>2005.3</v>
      </c>
      <c r="P164" s="17">
        <v>2005.3</v>
      </c>
      <c r="Q164" s="17"/>
      <c r="R164" s="17">
        <f t="shared" si="42"/>
        <v>2005.3</v>
      </c>
      <c r="S164" s="17">
        <v>2005.3</v>
      </c>
      <c r="T164" s="17"/>
      <c r="U164" s="17">
        <f t="shared" si="43"/>
        <v>2005.3</v>
      </c>
      <c r="V164" s="8"/>
      <c r="W164" s="1"/>
    </row>
    <row r="165" spans="1:23" ht="105.75" hidden="1" customHeight="1" outlineLevel="1" x14ac:dyDescent="0.25">
      <c r="A165" s="41"/>
      <c r="B165" s="34"/>
      <c r="C165" s="42"/>
      <c r="D165" s="12"/>
      <c r="E165" s="156" t="s">
        <v>261</v>
      </c>
      <c r="F165" s="155"/>
      <c r="G165" s="155"/>
      <c r="H165" s="155"/>
      <c r="I165" s="13" t="s">
        <v>48</v>
      </c>
      <c r="J165" s="5" t="s">
        <v>41</v>
      </c>
      <c r="K165" s="5" t="s">
        <v>18</v>
      </c>
      <c r="L165" s="5" t="s">
        <v>26</v>
      </c>
      <c r="M165" s="17">
        <v>1600</v>
      </c>
      <c r="N165" s="17">
        <f>-125.6</f>
        <v>-125.6</v>
      </c>
      <c r="O165" s="17">
        <f t="shared" si="39"/>
        <v>1474.4</v>
      </c>
      <c r="P165" s="17">
        <v>1474.4</v>
      </c>
      <c r="Q165" s="17"/>
      <c r="R165" s="17">
        <f t="shared" si="42"/>
        <v>1474.4</v>
      </c>
      <c r="S165" s="17">
        <v>1474.4</v>
      </c>
      <c r="T165" s="17"/>
      <c r="U165" s="17">
        <f t="shared" si="43"/>
        <v>1474.4</v>
      </c>
      <c r="V165" s="8"/>
      <c r="W165" s="1"/>
    </row>
    <row r="166" spans="1:23" ht="48.75" hidden="1" customHeight="1" outlineLevel="1" x14ac:dyDescent="0.25">
      <c r="A166" s="41"/>
      <c r="B166" s="34"/>
      <c r="C166" s="42"/>
      <c r="D166" s="12"/>
      <c r="E166" s="189" t="s">
        <v>290</v>
      </c>
      <c r="F166" s="181"/>
      <c r="G166" s="181"/>
      <c r="H166" s="182"/>
      <c r="I166" s="13"/>
      <c r="J166" s="5">
        <v>20</v>
      </c>
      <c r="K166" s="5">
        <v>2</v>
      </c>
      <c r="L166" s="9" t="s">
        <v>10</v>
      </c>
      <c r="M166" s="17">
        <v>0</v>
      </c>
      <c r="N166" s="17"/>
      <c r="O166" s="17">
        <f>SUM(M166:N166)</f>
        <v>0</v>
      </c>
      <c r="P166" s="17">
        <v>0</v>
      </c>
      <c r="Q166" s="17"/>
      <c r="R166" s="17">
        <f t="shared" si="42"/>
        <v>0</v>
      </c>
      <c r="S166" s="17">
        <v>0</v>
      </c>
      <c r="T166" s="17"/>
      <c r="U166" s="17">
        <f t="shared" si="43"/>
        <v>0</v>
      </c>
      <c r="V166" s="8"/>
      <c r="W166" s="1"/>
    </row>
    <row r="167" spans="1:23" ht="48.75" hidden="1" customHeight="1" outlineLevel="1" x14ac:dyDescent="0.25">
      <c r="A167" s="41"/>
      <c r="B167" s="34"/>
      <c r="C167" s="42"/>
      <c r="D167" s="12"/>
      <c r="E167" s="189" t="s">
        <v>372</v>
      </c>
      <c r="F167" s="181"/>
      <c r="G167" s="181"/>
      <c r="H167" s="182"/>
      <c r="I167" s="13"/>
      <c r="J167" s="5">
        <v>20</v>
      </c>
      <c r="K167" s="5">
        <v>2</v>
      </c>
      <c r="L167" s="9" t="s">
        <v>7</v>
      </c>
      <c r="M167" s="17">
        <v>400</v>
      </c>
      <c r="N167" s="17"/>
      <c r="O167" s="17">
        <f>SUM(M167:N167)</f>
        <v>400</v>
      </c>
      <c r="P167" s="17">
        <v>400</v>
      </c>
      <c r="Q167" s="17"/>
      <c r="R167" s="17">
        <f t="shared" si="42"/>
        <v>400</v>
      </c>
      <c r="S167" s="17">
        <v>400</v>
      </c>
      <c r="T167" s="17"/>
      <c r="U167" s="17">
        <f t="shared" si="43"/>
        <v>400</v>
      </c>
      <c r="V167" s="8"/>
      <c r="W167" s="1"/>
    </row>
    <row r="168" spans="1:23" ht="46.5" hidden="1" customHeight="1" outlineLevel="1" x14ac:dyDescent="0.25">
      <c r="A168" s="41"/>
      <c r="B168" s="34"/>
      <c r="C168" s="42"/>
      <c r="D168" s="12"/>
      <c r="E168" s="155" t="s">
        <v>377</v>
      </c>
      <c r="F168" s="155"/>
      <c r="G168" s="155"/>
      <c r="H168" s="155"/>
      <c r="I168" s="13" t="s">
        <v>47</v>
      </c>
      <c r="J168" s="5" t="s">
        <v>41</v>
      </c>
      <c r="K168" s="5" t="s">
        <v>18</v>
      </c>
      <c r="L168" s="5" t="s">
        <v>46</v>
      </c>
      <c r="M168" s="17">
        <v>0</v>
      </c>
      <c r="N168" s="17"/>
      <c r="O168" s="17">
        <f t="shared" si="39"/>
        <v>0</v>
      </c>
      <c r="P168" s="17">
        <v>0</v>
      </c>
      <c r="Q168" s="17"/>
      <c r="R168" s="17">
        <f t="shared" si="42"/>
        <v>0</v>
      </c>
      <c r="S168" s="17">
        <v>0</v>
      </c>
      <c r="T168" s="17"/>
      <c r="U168" s="17">
        <f t="shared" si="43"/>
        <v>0</v>
      </c>
      <c r="V168" s="8"/>
      <c r="W168" s="1"/>
    </row>
    <row r="169" spans="1:23" ht="90.75" customHeight="1" collapsed="1" x14ac:dyDescent="0.25">
      <c r="A169" s="41"/>
      <c r="B169" s="34"/>
      <c r="C169" s="42"/>
      <c r="D169" s="153" t="s">
        <v>262</v>
      </c>
      <c r="E169" s="154"/>
      <c r="F169" s="154"/>
      <c r="G169" s="154"/>
      <c r="H169" s="154"/>
      <c r="I169" s="65" t="s">
        <v>45</v>
      </c>
      <c r="J169" s="66" t="s">
        <v>41</v>
      </c>
      <c r="K169" s="66" t="s">
        <v>27</v>
      </c>
      <c r="L169" s="66" t="s">
        <v>4</v>
      </c>
      <c r="M169" s="67">
        <f>M170+M171+M172</f>
        <v>81265.3</v>
      </c>
      <c r="N169" s="67">
        <f>N170+N171+N172</f>
        <v>5008.2</v>
      </c>
      <c r="O169" s="67">
        <f>SUM(M169:N169)</f>
        <v>86273.5</v>
      </c>
      <c r="P169" s="67">
        <v>86273.5</v>
      </c>
      <c r="Q169" s="67">
        <f>Q170+Q171+Q172</f>
        <v>709.7</v>
      </c>
      <c r="R169" s="67">
        <f t="shared" si="42"/>
        <v>86983.2</v>
      </c>
      <c r="S169" s="67">
        <v>105085.9</v>
      </c>
      <c r="T169" s="67">
        <f>T170+T171+T172</f>
        <v>2731.9</v>
      </c>
      <c r="U169" s="67">
        <f t="shared" si="43"/>
        <v>107817.79999999999</v>
      </c>
      <c r="V169" s="68" t="s">
        <v>427</v>
      </c>
      <c r="W169" s="1"/>
    </row>
    <row r="170" spans="1:23" ht="73.5" hidden="1" customHeight="1" outlineLevel="1" x14ac:dyDescent="0.25">
      <c r="A170" s="41"/>
      <c r="B170" s="34"/>
      <c r="C170" s="42"/>
      <c r="D170" s="12"/>
      <c r="E170" s="155" t="s">
        <v>263</v>
      </c>
      <c r="F170" s="155"/>
      <c r="G170" s="155"/>
      <c r="H170" s="155"/>
      <c r="I170" s="13" t="s">
        <v>44</v>
      </c>
      <c r="J170" s="5" t="s">
        <v>41</v>
      </c>
      <c r="K170" s="5" t="s">
        <v>27</v>
      </c>
      <c r="L170" s="5" t="s">
        <v>13</v>
      </c>
      <c r="M170" s="17">
        <v>33097.300000000003</v>
      </c>
      <c r="N170" s="17">
        <f>5008.2</f>
        <v>5008.2</v>
      </c>
      <c r="O170" s="17">
        <f t="shared" si="39"/>
        <v>38105.5</v>
      </c>
      <c r="P170" s="17">
        <v>38105.5</v>
      </c>
      <c r="Q170" s="17"/>
      <c r="R170" s="17">
        <f t="shared" si="42"/>
        <v>38105.5</v>
      </c>
      <c r="S170" s="17">
        <v>55527.199999999997</v>
      </c>
      <c r="T170" s="17"/>
      <c r="U170" s="17">
        <f t="shared" si="43"/>
        <v>55527.199999999997</v>
      </c>
      <c r="V170" s="8"/>
      <c r="W170" s="1" t="s">
        <v>297</v>
      </c>
    </row>
    <row r="171" spans="1:23" ht="65.25" hidden="1" customHeight="1" outlineLevel="1" x14ac:dyDescent="0.25">
      <c r="A171" s="41"/>
      <c r="B171" s="34"/>
      <c r="C171" s="42"/>
      <c r="D171" s="12"/>
      <c r="E171" s="155" t="s">
        <v>264</v>
      </c>
      <c r="F171" s="155"/>
      <c r="G171" s="155"/>
      <c r="H171" s="155"/>
      <c r="I171" s="13" t="s">
        <v>43</v>
      </c>
      <c r="J171" s="5" t="s">
        <v>41</v>
      </c>
      <c r="K171" s="5" t="s">
        <v>27</v>
      </c>
      <c r="L171" s="5" t="s">
        <v>11</v>
      </c>
      <c r="M171" s="17">
        <v>45068</v>
      </c>
      <c r="N171" s="17"/>
      <c r="O171" s="17">
        <f t="shared" si="39"/>
        <v>45068</v>
      </c>
      <c r="P171" s="17">
        <v>45068</v>
      </c>
      <c r="Q171" s="17">
        <f>-586.2+200+1095.9</f>
        <v>709.7</v>
      </c>
      <c r="R171" s="17">
        <f t="shared" si="42"/>
        <v>45777.7</v>
      </c>
      <c r="S171" s="17">
        <v>46458.7</v>
      </c>
      <c r="T171" s="17">
        <f>1510.9+1221</f>
        <v>2731.9</v>
      </c>
      <c r="U171" s="17">
        <f t="shared" si="43"/>
        <v>49190.6</v>
      </c>
      <c r="V171" s="8" t="s">
        <v>425</v>
      </c>
      <c r="W171" s="1"/>
    </row>
    <row r="172" spans="1:23" ht="43.5" hidden="1" customHeight="1" outlineLevel="1" x14ac:dyDescent="0.25">
      <c r="A172" s="41"/>
      <c r="B172" s="34"/>
      <c r="C172" s="42"/>
      <c r="D172" s="12"/>
      <c r="E172" s="155" t="s">
        <v>265</v>
      </c>
      <c r="F172" s="155"/>
      <c r="G172" s="155"/>
      <c r="H172" s="155"/>
      <c r="I172" s="13" t="s">
        <v>42</v>
      </c>
      <c r="J172" s="5" t="s">
        <v>41</v>
      </c>
      <c r="K172" s="5" t="s">
        <v>27</v>
      </c>
      <c r="L172" s="5" t="s">
        <v>26</v>
      </c>
      <c r="M172" s="17">
        <v>3100</v>
      </c>
      <c r="N172" s="17"/>
      <c r="O172" s="17">
        <f t="shared" si="39"/>
        <v>3100</v>
      </c>
      <c r="P172" s="17">
        <v>3100</v>
      </c>
      <c r="Q172" s="17"/>
      <c r="R172" s="17">
        <f t="shared" si="42"/>
        <v>3100</v>
      </c>
      <c r="S172" s="17">
        <v>3100</v>
      </c>
      <c r="T172" s="17"/>
      <c r="U172" s="17">
        <f t="shared" si="43"/>
        <v>3100</v>
      </c>
      <c r="V172" s="8"/>
      <c r="W172" s="1"/>
    </row>
    <row r="173" spans="1:23" ht="42" customHeight="1" collapsed="1" x14ac:dyDescent="0.25">
      <c r="A173" s="41"/>
      <c r="B173" s="34"/>
      <c r="C173" s="42"/>
      <c r="D173" s="157" t="s">
        <v>266</v>
      </c>
      <c r="E173" s="154"/>
      <c r="F173" s="154"/>
      <c r="G173" s="154"/>
      <c r="H173" s="154"/>
      <c r="I173" s="65" t="s">
        <v>39</v>
      </c>
      <c r="J173" s="66" t="s">
        <v>41</v>
      </c>
      <c r="K173" s="66" t="s">
        <v>40</v>
      </c>
      <c r="L173" s="66" t="s">
        <v>4</v>
      </c>
      <c r="M173" s="67">
        <f>M174</f>
        <v>15000</v>
      </c>
      <c r="N173" s="67">
        <f>N174</f>
        <v>0</v>
      </c>
      <c r="O173" s="67">
        <f>SUM(M173:N173)</f>
        <v>15000</v>
      </c>
      <c r="P173" s="67">
        <v>15000</v>
      </c>
      <c r="Q173" s="67">
        <f>Q174</f>
        <v>0</v>
      </c>
      <c r="R173" s="67">
        <f t="shared" si="42"/>
        <v>15000</v>
      </c>
      <c r="S173" s="67">
        <v>19555.400000000001</v>
      </c>
      <c r="T173" s="67">
        <f>T174</f>
        <v>0</v>
      </c>
      <c r="U173" s="67">
        <f t="shared" si="43"/>
        <v>19555.400000000001</v>
      </c>
      <c r="V173" s="68"/>
      <c r="W173" s="1"/>
    </row>
    <row r="174" spans="1:23" ht="98.25" hidden="1" customHeight="1" outlineLevel="1" x14ac:dyDescent="0.25">
      <c r="A174" s="41"/>
      <c r="B174" s="34"/>
      <c r="C174" s="42"/>
      <c r="D174" s="12"/>
      <c r="E174" s="156" t="s">
        <v>267</v>
      </c>
      <c r="F174" s="155"/>
      <c r="G174" s="155"/>
      <c r="H174" s="155"/>
      <c r="I174" s="13" t="s">
        <v>39</v>
      </c>
      <c r="J174" s="5" t="s">
        <v>41</v>
      </c>
      <c r="K174" s="5" t="s">
        <v>40</v>
      </c>
      <c r="L174" s="5" t="s">
        <v>13</v>
      </c>
      <c r="M174" s="17">
        <v>15000</v>
      </c>
      <c r="N174" s="17"/>
      <c r="O174" s="17">
        <f t="shared" si="39"/>
        <v>15000</v>
      </c>
      <c r="P174" s="17">
        <v>15000</v>
      </c>
      <c r="Q174" s="17"/>
      <c r="R174" s="17">
        <f t="shared" si="42"/>
        <v>15000</v>
      </c>
      <c r="S174" s="17">
        <v>19555.400000000001</v>
      </c>
      <c r="T174" s="17"/>
      <c r="U174" s="17">
        <f t="shared" si="43"/>
        <v>19555.400000000001</v>
      </c>
      <c r="V174" s="8"/>
      <c r="W174" s="1"/>
    </row>
    <row r="175" spans="1:23" ht="45.75" customHeight="1" collapsed="1" x14ac:dyDescent="0.25">
      <c r="A175" s="41"/>
      <c r="B175" s="1"/>
      <c r="D175" s="162" t="s">
        <v>335</v>
      </c>
      <c r="E175" s="163"/>
      <c r="F175" s="163"/>
      <c r="G175" s="163"/>
      <c r="H175" s="164"/>
      <c r="I175" s="53" t="s">
        <v>38</v>
      </c>
      <c r="J175" s="54" t="s">
        <v>37</v>
      </c>
      <c r="K175" s="54" t="s">
        <v>4</v>
      </c>
      <c r="L175" s="54" t="s">
        <v>4</v>
      </c>
      <c r="M175" s="56">
        <f>M176</f>
        <v>3128.1</v>
      </c>
      <c r="N175" s="56">
        <f>N176</f>
        <v>0</v>
      </c>
      <c r="O175" s="56">
        <f>O176</f>
        <v>3128.1</v>
      </c>
      <c r="P175" s="56">
        <v>3128.1</v>
      </c>
      <c r="Q175" s="56">
        <f>Q176</f>
        <v>-100</v>
      </c>
      <c r="R175" s="56">
        <f>R176</f>
        <v>3028.1</v>
      </c>
      <c r="S175" s="56">
        <v>6143.9</v>
      </c>
      <c r="T175" s="56">
        <f>SUM(T176)</f>
        <v>-402</v>
      </c>
      <c r="U175" s="56">
        <f>SUM(S175:T175)</f>
        <v>5741.9</v>
      </c>
      <c r="V175" s="57" t="s">
        <v>406</v>
      </c>
      <c r="W175" s="1"/>
    </row>
    <row r="176" spans="1:23" ht="74.25" hidden="1" customHeight="1" outlineLevel="1" x14ac:dyDescent="0.25">
      <c r="A176" s="41"/>
      <c r="B176" s="34"/>
      <c r="C176" s="42"/>
      <c r="D176" s="12"/>
      <c r="E176" s="156" t="s">
        <v>268</v>
      </c>
      <c r="F176" s="155"/>
      <c r="G176" s="155"/>
      <c r="H176" s="155"/>
      <c r="I176" s="13" t="s">
        <v>38</v>
      </c>
      <c r="J176" s="5" t="s">
        <v>37</v>
      </c>
      <c r="K176" s="5" t="s">
        <v>2</v>
      </c>
      <c r="L176" s="5" t="s">
        <v>13</v>
      </c>
      <c r="M176" s="17">
        <v>3128.1</v>
      </c>
      <c r="N176" s="17"/>
      <c r="O176" s="17">
        <f t="shared" si="39"/>
        <v>3128.1</v>
      </c>
      <c r="P176" s="17">
        <v>3128.1</v>
      </c>
      <c r="Q176" s="17">
        <v>-100</v>
      </c>
      <c r="R176" s="17">
        <f>SUM(P176:Q176)</f>
        <v>3028.1</v>
      </c>
      <c r="S176" s="17">
        <v>6143.9</v>
      </c>
      <c r="T176" s="17">
        <v>-402</v>
      </c>
      <c r="U176" s="99">
        <f>SUM(S176:T176)</f>
        <v>5741.9</v>
      </c>
      <c r="V176" s="8" t="s">
        <v>406</v>
      </c>
      <c r="W176" s="1"/>
    </row>
    <row r="177" spans="1:24" ht="37.5" customHeight="1" collapsed="1" x14ac:dyDescent="0.25">
      <c r="A177" s="41"/>
      <c r="B177" s="1"/>
      <c r="D177" s="162" t="s">
        <v>179</v>
      </c>
      <c r="E177" s="163"/>
      <c r="F177" s="163"/>
      <c r="G177" s="163"/>
      <c r="H177" s="164"/>
      <c r="I177" s="53" t="s">
        <v>36</v>
      </c>
      <c r="J177" s="54" t="s">
        <v>28</v>
      </c>
      <c r="K177" s="54" t="s">
        <v>4</v>
      </c>
      <c r="L177" s="54" t="s">
        <v>4</v>
      </c>
      <c r="M177" s="56">
        <f t="shared" ref="M177:R177" si="44">SUM(M178+M182+M184)</f>
        <v>515555.1</v>
      </c>
      <c r="N177" s="56">
        <f t="shared" si="44"/>
        <v>1060</v>
      </c>
      <c r="O177" s="56">
        <f t="shared" si="44"/>
        <v>516615.1</v>
      </c>
      <c r="P177" s="56">
        <f t="shared" si="44"/>
        <v>516465.1</v>
      </c>
      <c r="Q177" s="56">
        <f t="shared" si="44"/>
        <v>5115.9999999999991</v>
      </c>
      <c r="R177" s="56">
        <f t="shared" si="44"/>
        <v>521581.10000000003</v>
      </c>
      <c r="S177" s="56">
        <v>527275.4</v>
      </c>
      <c r="T177" s="56">
        <f>SUM(T178+T182+T184)</f>
        <v>34136.600000000006</v>
      </c>
      <c r="U177" s="56">
        <f>SUM(S177:T177)</f>
        <v>561412</v>
      </c>
      <c r="V177" s="64"/>
      <c r="W177" s="1"/>
    </row>
    <row r="178" spans="1:24" ht="108.75" customHeight="1" x14ac:dyDescent="0.25">
      <c r="A178" s="41"/>
      <c r="B178" s="34"/>
      <c r="C178" s="42"/>
      <c r="D178" s="157" t="s">
        <v>269</v>
      </c>
      <c r="E178" s="154"/>
      <c r="F178" s="154"/>
      <c r="G178" s="154"/>
      <c r="H178" s="154"/>
      <c r="I178" s="65" t="s">
        <v>35</v>
      </c>
      <c r="J178" s="66" t="s">
        <v>28</v>
      </c>
      <c r="K178" s="66" t="s">
        <v>23</v>
      </c>
      <c r="L178" s="66" t="s">
        <v>4</v>
      </c>
      <c r="M178" s="67">
        <f>M179+M180+M181</f>
        <v>340958.2</v>
      </c>
      <c r="N178" s="67">
        <f>N179+N180+N181</f>
        <v>0</v>
      </c>
      <c r="O178" s="67">
        <f>SUM(M178:N178)</f>
        <v>340958.2</v>
      </c>
      <c r="P178" s="67">
        <f>P179+P180+P181</f>
        <v>340808.2</v>
      </c>
      <c r="Q178" s="67">
        <f>Q179+Q180+Q181</f>
        <v>-479.6</v>
      </c>
      <c r="R178" s="67">
        <f t="shared" ref="R178:R183" si="45">SUM(P178:Q178)</f>
        <v>340328.60000000003</v>
      </c>
      <c r="S178" s="67">
        <v>345655.60000000003</v>
      </c>
      <c r="T178" s="67">
        <f>SUM(T179+T180+T181)</f>
        <v>21571.4</v>
      </c>
      <c r="U178" s="67">
        <f>SUM(S178:T178)</f>
        <v>367227.00000000006</v>
      </c>
      <c r="V178" s="81" t="s">
        <v>446</v>
      </c>
      <c r="W178" s="1"/>
      <c r="X178" s="81" t="s">
        <v>386</v>
      </c>
    </row>
    <row r="179" spans="1:24" ht="90" hidden="1" customHeight="1" outlineLevel="1" x14ac:dyDescent="0.25">
      <c r="A179" s="41"/>
      <c r="B179" s="34"/>
      <c r="C179" s="42"/>
      <c r="D179" s="12"/>
      <c r="E179" s="156" t="s">
        <v>270</v>
      </c>
      <c r="F179" s="155"/>
      <c r="G179" s="155"/>
      <c r="H179" s="155"/>
      <c r="I179" s="13" t="s">
        <v>34</v>
      </c>
      <c r="J179" s="5" t="s">
        <v>28</v>
      </c>
      <c r="K179" s="5" t="s">
        <v>23</v>
      </c>
      <c r="L179" s="5" t="s">
        <v>13</v>
      </c>
      <c r="M179" s="17">
        <v>238572.2</v>
      </c>
      <c r="N179" s="17"/>
      <c r="O179" s="17">
        <f t="shared" ref="O179:O187" si="46">SUM(M179:N179)</f>
        <v>238572.2</v>
      </c>
      <c r="P179" s="17">
        <f>238572.2-150</f>
        <v>238422.2</v>
      </c>
      <c r="Q179" s="17">
        <f>-209.6-270</f>
        <v>-479.6</v>
      </c>
      <c r="R179" s="17">
        <f t="shared" si="45"/>
        <v>237942.6</v>
      </c>
      <c r="S179" s="17">
        <v>236930.1</v>
      </c>
      <c r="T179" s="17">
        <f>1020-920+18058.5+428+49.9-428</f>
        <v>18208.400000000001</v>
      </c>
      <c r="U179" s="17">
        <f t="shared" ref="U179:U187" si="47">SUM(S179:T179)</f>
        <v>255138.5</v>
      </c>
      <c r="V179" s="28" t="s">
        <v>445</v>
      </c>
      <c r="W179" s="1"/>
    </row>
    <row r="180" spans="1:24" ht="39" hidden="1" customHeight="1" outlineLevel="1" x14ac:dyDescent="0.25">
      <c r="A180" s="41"/>
      <c r="B180" s="34"/>
      <c r="C180" s="42"/>
      <c r="D180" s="12"/>
      <c r="E180" s="156" t="s">
        <v>271</v>
      </c>
      <c r="F180" s="155"/>
      <c r="G180" s="155"/>
      <c r="H180" s="155"/>
      <c r="I180" s="13" t="s">
        <v>33</v>
      </c>
      <c r="J180" s="5" t="s">
        <v>28</v>
      </c>
      <c r="K180" s="5" t="s">
        <v>23</v>
      </c>
      <c r="L180" s="5" t="s">
        <v>11</v>
      </c>
      <c r="M180" s="17">
        <v>95886</v>
      </c>
      <c r="N180" s="17"/>
      <c r="O180" s="17">
        <f t="shared" si="46"/>
        <v>95886</v>
      </c>
      <c r="P180" s="17">
        <v>95886</v>
      </c>
      <c r="Q180" s="17"/>
      <c r="R180" s="17">
        <f t="shared" si="45"/>
        <v>95886</v>
      </c>
      <c r="S180" s="17">
        <v>97108.2</v>
      </c>
      <c r="T180" s="17">
        <v>3363</v>
      </c>
      <c r="U180" s="17">
        <f t="shared" si="47"/>
        <v>100471.2</v>
      </c>
      <c r="V180" s="29" t="s">
        <v>397</v>
      </c>
      <c r="W180" s="1"/>
    </row>
    <row r="181" spans="1:24" ht="74.25" hidden="1" customHeight="1" outlineLevel="1" x14ac:dyDescent="0.25">
      <c r="A181" s="41"/>
      <c r="B181" s="34"/>
      <c r="C181" s="42"/>
      <c r="D181" s="12"/>
      <c r="E181" s="155" t="s">
        <v>373</v>
      </c>
      <c r="F181" s="155"/>
      <c r="G181" s="155"/>
      <c r="H181" s="155"/>
      <c r="I181" s="13" t="s">
        <v>33</v>
      </c>
      <c r="J181" s="5" t="s">
        <v>28</v>
      </c>
      <c r="K181" s="5" t="s">
        <v>23</v>
      </c>
      <c r="L181" s="9" t="s">
        <v>10</v>
      </c>
      <c r="M181" s="17">
        <v>6500</v>
      </c>
      <c r="N181" s="17"/>
      <c r="O181" s="17">
        <f>SUM(M181:N181)</f>
        <v>6500</v>
      </c>
      <c r="P181" s="17">
        <v>6500</v>
      </c>
      <c r="Q181" s="17"/>
      <c r="R181" s="17">
        <f t="shared" si="45"/>
        <v>6500</v>
      </c>
      <c r="S181" s="17">
        <v>11617.3</v>
      </c>
      <c r="T181" s="17"/>
      <c r="U181" s="17">
        <f t="shared" si="47"/>
        <v>11617.3</v>
      </c>
      <c r="V181" s="29"/>
      <c r="W181" s="1"/>
    </row>
    <row r="182" spans="1:24" ht="31.5" customHeight="1" collapsed="1" x14ac:dyDescent="0.25">
      <c r="A182" s="41"/>
      <c r="B182" s="34"/>
      <c r="C182" s="42"/>
      <c r="D182" s="157" t="s">
        <v>272</v>
      </c>
      <c r="E182" s="154"/>
      <c r="F182" s="154"/>
      <c r="G182" s="154"/>
      <c r="H182" s="154"/>
      <c r="I182" s="65" t="s">
        <v>32</v>
      </c>
      <c r="J182" s="66" t="s">
        <v>28</v>
      </c>
      <c r="K182" s="66" t="s">
        <v>18</v>
      </c>
      <c r="L182" s="66" t="s">
        <v>4</v>
      </c>
      <c r="M182" s="67">
        <f>M183</f>
        <v>0</v>
      </c>
      <c r="N182" s="67">
        <f>N183</f>
        <v>0</v>
      </c>
      <c r="O182" s="67">
        <f>SUM(M182:N182)</f>
        <v>0</v>
      </c>
      <c r="P182" s="67">
        <v>0</v>
      </c>
      <c r="Q182" s="67">
        <f>Q183</f>
        <v>0</v>
      </c>
      <c r="R182" s="67">
        <f t="shared" si="45"/>
        <v>0</v>
      </c>
      <c r="S182" s="67">
        <v>0</v>
      </c>
      <c r="T182" s="67">
        <f>SUM(T183)</f>
        <v>0</v>
      </c>
      <c r="U182" s="67">
        <f t="shared" si="47"/>
        <v>0</v>
      </c>
      <c r="V182" s="73"/>
      <c r="W182" s="1"/>
    </row>
    <row r="183" spans="1:24" ht="46.5" hidden="1" customHeight="1" outlineLevel="1" x14ac:dyDescent="0.25">
      <c r="A183" s="41"/>
      <c r="B183" s="34"/>
      <c r="C183" s="42"/>
      <c r="D183" s="12"/>
      <c r="E183" s="156" t="s">
        <v>273</v>
      </c>
      <c r="F183" s="155"/>
      <c r="G183" s="155"/>
      <c r="H183" s="155"/>
      <c r="I183" s="13" t="s">
        <v>32</v>
      </c>
      <c r="J183" s="5" t="s">
        <v>28</v>
      </c>
      <c r="K183" s="5" t="s">
        <v>18</v>
      </c>
      <c r="L183" s="5" t="s">
        <v>13</v>
      </c>
      <c r="M183" s="17">
        <v>0</v>
      </c>
      <c r="N183" s="17"/>
      <c r="O183" s="17">
        <f t="shared" si="46"/>
        <v>0</v>
      </c>
      <c r="P183" s="17">
        <v>0</v>
      </c>
      <c r="Q183" s="17"/>
      <c r="R183" s="17">
        <f t="shared" si="45"/>
        <v>0</v>
      </c>
      <c r="S183" s="17">
        <v>0</v>
      </c>
      <c r="T183" s="17"/>
      <c r="U183" s="17">
        <f t="shared" si="47"/>
        <v>0</v>
      </c>
      <c r="V183" s="22"/>
      <c r="W183" s="1"/>
    </row>
    <row r="184" spans="1:24" ht="144.75" customHeight="1" collapsed="1" x14ac:dyDescent="0.25">
      <c r="A184" s="41"/>
      <c r="B184" s="34"/>
      <c r="C184" s="42"/>
      <c r="D184" s="157" t="s">
        <v>274</v>
      </c>
      <c r="E184" s="154"/>
      <c r="F184" s="154"/>
      <c r="G184" s="154"/>
      <c r="H184" s="154"/>
      <c r="I184" s="65" t="s">
        <v>31</v>
      </c>
      <c r="J184" s="66" t="s">
        <v>28</v>
      </c>
      <c r="K184" s="66" t="s">
        <v>27</v>
      </c>
      <c r="L184" s="66" t="s">
        <v>4</v>
      </c>
      <c r="M184" s="67">
        <f>SUM(M185:M187)</f>
        <v>174596.9</v>
      </c>
      <c r="N184" s="67">
        <f>SUM(N185:N187)</f>
        <v>1060</v>
      </c>
      <c r="O184" s="67">
        <f>SUM(O185:O187)</f>
        <v>175656.9</v>
      </c>
      <c r="P184" s="67">
        <v>175656.9</v>
      </c>
      <c r="Q184" s="67">
        <f>SUM(Q185:Q187)</f>
        <v>5595.5999999999995</v>
      </c>
      <c r="R184" s="67">
        <f>SUM(R185:R187)</f>
        <v>181252.5</v>
      </c>
      <c r="S184" s="67">
        <v>181619.8</v>
      </c>
      <c r="T184" s="67">
        <f>SUM(T185+T186+T187)</f>
        <v>12565.2</v>
      </c>
      <c r="U184" s="67">
        <f t="shared" si="47"/>
        <v>194185</v>
      </c>
      <c r="V184" s="68" t="s">
        <v>433</v>
      </c>
      <c r="W184" s="1"/>
    </row>
    <row r="185" spans="1:24" ht="98.25" hidden="1" customHeight="1" outlineLevel="1" x14ac:dyDescent="0.25">
      <c r="A185" s="41"/>
      <c r="B185" s="34"/>
      <c r="C185" s="42"/>
      <c r="D185" s="12"/>
      <c r="E185" s="156" t="s">
        <v>275</v>
      </c>
      <c r="F185" s="155"/>
      <c r="G185" s="155"/>
      <c r="H185" s="155"/>
      <c r="I185" s="13" t="s">
        <v>30</v>
      </c>
      <c r="J185" s="5" t="s">
        <v>28</v>
      </c>
      <c r="K185" s="5" t="s">
        <v>27</v>
      </c>
      <c r="L185" s="5" t="s">
        <v>13</v>
      </c>
      <c r="M185" s="17">
        <v>120165</v>
      </c>
      <c r="N185" s="17">
        <v>360</v>
      </c>
      <c r="O185" s="17">
        <f t="shared" si="46"/>
        <v>120525</v>
      </c>
      <c r="P185" s="17">
        <v>120525</v>
      </c>
      <c r="Q185" s="17">
        <f>586.2+2467</f>
        <v>3053.2</v>
      </c>
      <c r="R185" s="17">
        <f>SUM(P185:Q185)</f>
        <v>123578.2</v>
      </c>
      <c r="S185" s="17">
        <v>123532.9</v>
      </c>
      <c r="T185" s="17">
        <f>2729.1+4369.1</f>
        <v>7098.2000000000007</v>
      </c>
      <c r="U185" s="17">
        <f t="shared" si="47"/>
        <v>130631.09999999999</v>
      </c>
      <c r="V185" s="8" t="s">
        <v>419</v>
      </c>
      <c r="W185" s="1"/>
    </row>
    <row r="186" spans="1:24" ht="93.75" hidden="1" customHeight="1" outlineLevel="1" x14ac:dyDescent="0.25">
      <c r="A186" s="41"/>
      <c r="B186" s="34"/>
      <c r="C186" s="42"/>
      <c r="D186" s="12"/>
      <c r="E186" s="156" t="s">
        <v>276</v>
      </c>
      <c r="F186" s="155"/>
      <c r="G186" s="155"/>
      <c r="H186" s="155"/>
      <c r="I186" s="13" t="s">
        <v>29</v>
      </c>
      <c r="J186" s="5" t="s">
        <v>28</v>
      </c>
      <c r="K186" s="5" t="s">
        <v>27</v>
      </c>
      <c r="L186" s="5" t="s">
        <v>11</v>
      </c>
      <c r="M186" s="17">
        <v>54431.9</v>
      </c>
      <c r="N186" s="17">
        <v>700</v>
      </c>
      <c r="O186" s="17">
        <f t="shared" si="46"/>
        <v>55131.9</v>
      </c>
      <c r="P186" s="17">
        <v>55131.9</v>
      </c>
      <c r="Q186" s="17">
        <f>485+1916.2+91.2+50</f>
        <v>2542.3999999999996</v>
      </c>
      <c r="R186" s="17">
        <f>SUM(P186:Q186)</f>
        <v>57674.3</v>
      </c>
      <c r="S186" s="17">
        <v>58086.9</v>
      </c>
      <c r="T186" s="17">
        <f>1978.3-64.9+3553.6</f>
        <v>5467</v>
      </c>
      <c r="U186" s="17">
        <f t="shared" si="47"/>
        <v>63553.9</v>
      </c>
      <c r="V186" s="8" t="s">
        <v>420</v>
      </c>
      <c r="W186" s="1"/>
    </row>
    <row r="187" spans="1:24" ht="56.25" hidden="1" customHeight="1" outlineLevel="1" x14ac:dyDescent="0.25">
      <c r="A187" s="41"/>
      <c r="B187" s="34"/>
      <c r="C187" s="42"/>
      <c r="D187" s="12"/>
      <c r="E187" s="156" t="s">
        <v>277</v>
      </c>
      <c r="F187" s="155"/>
      <c r="G187" s="155"/>
      <c r="H187" s="155"/>
      <c r="I187" s="13" t="s">
        <v>25</v>
      </c>
      <c r="J187" s="5" t="s">
        <v>28</v>
      </c>
      <c r="K187" s="5" t="s">
        <v>27</v>
      </c>
      <c r="L187" s="5" t="s">
        <v>26</v>
      </c>
      <c r="M187" s="17">
        <v>0</v>
      </c>
      <c r="N187" s="17"/>
      <c r="O187" s="17">
        <f t="shared" si="46"/>
        <v>0</v>
      </c>
      <c r="P187" s="17">
        <v>0</v>
      </c>
      <c r="Q187" s="17"/>
      <c r="R187" s="17">
        <f>SUM(P187:Q187)</f>
        <v>0</v>
      </c>
      <c r="S187" s="17">
        <v>0</v>
      </c>
      <c r="T187" s="17"/>
      <c r="U187" s="17">
        <f t="shared" si="47"/>
        <v>0</v>
      </c>
      <c r="V187" s="8"/>
      <c r="W187" s="1"/>
    </row>
    <row r="188" spans="1:24" ht="29.25" customHeight="1" collapsed="1" x14ac:dyDescent="0.25">
      <c r="A188" s="41"/>
      <c r="B188" s="1"/>
      <c r="D188" s="162" t="s">
        <v>317</v>
      </c>
      <c r="E188" s="163"/>
      <c r="F188" s="163"/>
      <c r="G188" s="163"/>
      <c r="H188" s="164"/>
      <c r="I188" s="53" t="s">
        <v>24</v>
      </c>
      <c r="J188" s="54" t="s">
        <v>19</v>
      </c>
      <c r="K188" s="54" t="s">
        <v>4</v>
      </c>
      <c r="L188" s="54" t="s">
        <v>4</v>
      </c>
      <c r="M188" s="56">
        <f>M189+M197</f>
        <v>115913.4</v>
      </c>
      <c r="N188" s="56">
        <f>N189+N197</f>
        <v>15000</v>
      </c>
      <c r="O188" s="56">
        <f>O189+O197</f>
        <v>130913.4</v>
      </c>
      <c r="P188" s="56">
        <v>130913.4</v>
      </c>
      <c r="Q188" s="56">
        <f>Q189+Q197</f>
        <v>6809.4</v>
      </c>
      <c r="R188" s="56">
        <f>R189+R197</f>
        <v>137722.79999999999</v>
      </c>
      <c r="S188" s="56">
        <v>198192.5</v>
      </c>
      <c r="T188" s="56">
        <f>SUM(T189+T197)</f>
        <v>-3962.1</v>
      </c>
      <c r="U188" s="56">
        <f t="shared" ref="U188:U195" si="48">SUM(S188:T188)</f>
        <v>194230.39999999999</v>
      </c>
      <c r="V188" s="58"/>
      <c r="W188" s="1"/>
    </row>
    <row r="189" spans="1:24" ht="42.75" customHeight="1" x14ac:dyDescent="0.25">
      <c r="A189" s="41"/>
      <c r="B189" s="34"/>
      <c r="C189" s="42"/>
      <c r="D189" s="157" t="s">
        <v>278</v>
      </c>
      <c r="E189" s="154"/>
      <c r="F189" s="154"/>
      <c r="G189" s="154"/>
      <c r="H189" s="154"/>
      <c r="I189" s="65" t="s">
        <v>22</v>
      </c>
      <c r="J189" s="66" t="s">
        <v>19</v>
      </c>
      <c r="K189" s="66" t="s">
        <v>23</v>
      </c>
      <c r="L189" s="66" t="s">
        <v>4</v>
      </c>
      <c r="M189" s="67">
        <f>M194+M190</f>
        <v>0</v>
      </c>
      <c r="N189" s="67">
        <f>N194+N190</f>
        <v>0</v>
      </c>
      <c r="O189" s="67">
        <f t="shared" ref="O189:O197" si="49">SUM(M189:N189)</f>
        <v>0</v>
      </c>
      <c r="P189" s="67">
        <v>0</v>
      </c>
      <c r="Q189" s="67">
        <f>Q194+Q190</f>
        <v>0</v>
      </c>
      <c r="R189" s="67">
        <f t="shared" ref="R189:R201" si="50">SUM(P189:Q189)</f>
        <v>0</v>
      </c>
      <c r="S189" s="67">
        <v>10328.1</v>
      </c>
      <c r="T189" s="67">
        <f>SUM(T190+T191+T192+T193+T194+T195)</f>
        <v>-0.5</v>
      </c>
      <c r="U189" s="67">
        <f t="shared" si="48"/>
        <v>10327.6</v>
      </c>
      <c r="V189" s="68" t="s">
        <v>407</v>
      </c>
      <c r="W189" s="1"/>
    </row>
    <row r="190" spans="1:24" ht="57" hidden="1" customHeight="1" outlineLevel="1" x14ac:dyDescent="0.25">
      <c r="A190" s="41"/>
      <c r="B190" s="34"/>
      <c r="C190" s="42"/>
      <c r="D190" s="45"/>
      <c r="E190" s="155" t="s">
        <v>308</v>
      </c>
      <c r="F190" s="155"/>
      <c r="G190" s="155"/>
      <c r="H190" s="155"/>
      <c r="I190" s="13" t="s">
        <v>22</v>
      </c>
      <c r="J190" s="5" t="s">
        <v>19</v>
      </c>
      <c r="K190" s="5" t="s">
        <v>23</v>
      </c>
      <c r="L190" s="9" t="s">
        <v>13</v>
      </c>
      <c r="M190" s="17">
        <v>0</v>
      </c>
      <c r="N190" s="17"/>
      <c r="O190" s="17">
        <f t="shared" si="49"/>
        <v>0</v>
      </c>
      <c r="P190" s="17">
        <v>0</v>
      </c>
      <c r="Q190" s="17"/>
      <c r="R190" s="17">
        <f t="shared" si="50"/>
        <v>0</v>
      </c>
      <c r="S190" s="17">
        <v>4343.1000000000004</v>
      </c>
      <c r="T190" s="17">
        <v>-0.5</v>
      </c>
      <c r="U190" s="17">
        <f t="shared" si="48"/>
        <v>4342.6000000000004</v>
      </c>
      <c r="V190" s="8" t="s">
        <v>407</v>
      </c>
      <c r="W190" s="1"/>
    </row>
    <row r="191" spans="1:24" ht="39.75" hidden="1" customHeight="1" outlineLevel="1" x14ac:dyDescent="0.25">
      <c r="A191" s="41"/>
      <c r="B191" s="34"/>
      <c r="C191" s="42"/>
      <c r="D191" s="45"/>
      <c r="E191" s="155" t="s">
        <v>380</v>
      </c>
      <c r="F191" s="155"/>
      <c r="G191" s="155"/>
      <c r="H191" s="155"/>
      <c r="I191" s="13"/>
      <c r="J191" s="5">
        <v>23</v>
      </c>
      <c r="K191" s="5">
        <v>1</v>
      </c>
      <c r="L191" s="9" t="s">
        <v>7</v>
      </c>
      <c r="M191" s="17">
        <v>0</v>
      </c>
      <c r="N191" s="17"/>
      <c r="O191" s="17">
        <f t="shared" si="49"/>
        <v>0</v>
      </c>
      <c r="P191" s="17">
        <v>0</v>
      </c>
      <c r="Q191" s="17"/>
      <c r="R191" s="17">
        <f t="shared" si="50"/>
        <v>0</v>
      </c>
      <c r="S191" s="17">
        <v>1117.3</v>
      </c>
      <c r="T191" s="17"/>
      <c r="U191" s="17">
        <f t="shared" si="48"/>
        <v>1117.3</v>
      </c>
      <c r="V191" s="8"/>
      <c r="W191" s="1"/>
    </row>
    <row r="192" spans="1:24" ht="48.75" hidden="1" customHeight="1" outlineLevel="1" x14ac:dyDescent="0.25">
      <c r="A192" s="41"/>
      <c r="B192" s="34"/>
      <c r="C192" s="42"/>
      <c r="D192" s="45"/>
      <c r="E192" s="155" t="s">
        <v>381</v>
      </c>
      <c r="F192" s="155"/>
      <c r="G192" s="155"/>
      <c r="H192" s="155"/>
      <c r="I192" s="13"/>
      <c r="J192" s="5">
        <v>23</v>
      </c>
      <c r="K192" s="5">
        <v>1</v>
      </c>
      <c r="L192" s="9" t="s">
        <v>5</v>
      </c>
      <c r="M192" s="17">
        <v>0</v>
      </c>
      <c r="N192" s="17"/>
      <c r="O192" s="17">
        <f t="shared" si="49"/>
        <v>0</v>
      </c>
      <c r="P192" s="17">
        <v>0</v>
      </c>
      <c r="Q192" s="17"/>
      <c r="R192" s="17">
        <f t="shared" si="50"/>
        <v>0</v>
      </c>
      <c r="S192" s="17">
        <v>1153.5</v>
      </c>
      <c r="T192" s="17"/>
      <c r="U192" s="17">
        <f t="shared" si="48"/>
        <v>1153.5</v>
      </c>
      <c r="V192" s="8"/>
      <c r="W192" s="1"/>
    </row>
    <row r="193" spans="1:24" ht="39" hidden="1" customHeight="1" outlineLevel="1" x14ac:dyDescent="0.25">
      <c r="A193" s="41"/>
      <c r="B193" s="34"/>
      <c r="C193" s="42"/>
      <c r="D193" s="45"/>
      <c r="E193" s="155" t="s">
        <v>382</v>
      </c>
      <c r="F193" s="155"/>
      <c r="G193" s="155"/>
      <c r="H193" s="155"/>
      <c r="I193" s="13"/>
      <c r="J193" s="5">
        <v>23</v>
      </c>
      <c r="K193" s="5">
        <v>1</v>
      </c>
      <c r="L193" s="9" t="s">
        <v>1</v>
      </c>
      <c r="M193" s="17">
        <v>0</v>
      </c>
      <c r="N193" s="17"/>
      <c r="O193" s="17">
        <f t="shared" si="49"/>
        <v>0</v>
      </c>
      <c r="P193" s="17">
        <v>0</v>
      </c>
      <c r="Q193" s="17"/>
      <c r="R193" s="17">
        <f t="shared" si="50"/>
        <v>0</v>
      </c>
      <c r="S193" s="17">
        <v>1112.0999999999999</v>
      </c>
      <c r="T193" s="17"/>
      <c r="U193" s="17">
        <f t="shared" si="48"/>
        <v>1112.0999999999999</v>
      </c>
      <c r="V193" s="8"/>
      <c r="W193" s="1"/>
    </row>
    <row r="194" spans="1:24" ht="41.25" hidden="1" customHeight="1" outlineLevel="1" x14ac:dyDescent="0.25">
      <c r="A194" s="41"/>
      <c r="B194" s="34"/>
      <c r="C194" s="42"/>
      <c r="D194" s="12"/>
      <c r="E194" s="155" t="s">
        <v>383</v>
      </c>
      <c r="F194" s="155"/>
      <c r="G194" s="155"/>
      <c r="H194" s="155"/>
      <c r="I194" s="13" t="s">
        <v>22</v>
      </c>
      <c r="J194" s="5" t="s">
        <v>19</v>
      </c>
      <c r="K194" s="5" t="s">
        <v>23</v>
      </c>
      <c r="L194" s="9" t="s">
        <v>134</v>
      </c>
      <c r="M194" s="17">
        <v>0</v>
      </c>
      <c r="N194" s="17"/>
      <c r="O194" s="17">
        <f t="shared" si="49"/>
        <v>0</v>
      </c>
      <c r="P194" s="17">
        <v>0</v>
      </c>
      <c r="Q194" s="17"/>
      <c r="R194" s="17">
        <f t="shared" si="50"/>
        <v>0</v>
      </c>
      <c r="S194" s="17">
        <v>1469.1</v>
      </c>
      <c r="T194" s="17"/>
      <c r="U194" s="17">
        <f t="shared" si="48"/>
        <v>1469.1</v>
      </c>
      <c r="V194" s="8"/>
      <c r="W194" s="1"/>
    </row>
    <row r="195" spans="1:24" ht="34.5" hidden="1" customHeight="1" outlineLevel="1" x14ac:dyDescent="0.25">
      <c r="A195" s="41"/>
      <c r="B195" s="34"/>
      <c r="C195" s="42"/>
      <c r="D195" s="12"/>
      <c r="E195" s="155" t="s">
        <v>384</v>
      </c>
      <c r="F195" s="155"/>
      <c r="G195" s="155"/>
      <c r="H195" s="155"/>
      <c r="I195" s="13"/>
      <c r="J195" s="5" t="s">
        <v>19</v>
      </c>
      <c r="K195" s="5" t="s">
        <v>23</v>
      </c>
      <c r="L195" s="9" t="s">
        <v>124</v>
      </c>
      <c r="M195" s="17"/>
      <c r="N195" s="17"/>
      <c r="O195" s="17"/>
      <c r="P195" s="17"/>
      <c r="Q195" s="17"/>
      <c r="R195" s="17"/>
      <c r="S195" s="17">
        <v>1133</v>
      </c>
      <c r="T195" s="17"/>
      <c r="U195" s="17">
        <f t="shared" si="48"/>
        <v>1133</v>
      </c>
      <c r="V195" s="8"/>
      <c r="W195" s="1"/>
    </row>
    <row r="196" spans="1:24" ht="28.5" hidden="1" customHeight="1" outlineLevel="1" x14ac:dyDescent="0.25">
      <c r="A196" s="41"/>
      <c r="B196" s="34"/>
      <c r="C196" s="42"/>
      <c r="D196" s="12"/>
      <c r="E196" s="156" t="s">
        <v>279</v>
      </c>
      <c r="F196" s="155"/>
      <c r="G196" s="155"/>
      <c r="H196" s="155"/>
      <c r="I196" s="13"/>
      <c r="J196" s="5" t="s">
        <v>19</v>
      </c>
      <c r="K196" s="5" t="s">
        <v>23</v>
      </c>
      <c r="L196" s="9" t="s">
        <v>17</v>
      </c>
      <c r="M196" s="17"/>
      <c r="N196" s="17"/>
      <c r="O196" s="17"/>
      <c r="P196" s="17"/>
      <c r="Q196" s="17"/>
      <c r="R196" s="17"/>
      <c r="S196" s="17"/>
      <c r="T196" s="17"/>
      <c r="U196" s="17"/>
      <c r="V196" s="8"/>
      <c r="W196" s="1"/>
    </row>
    <row r="197" spans="1:24" ht="45" customHeight="1" collapsed="1" x14ac:dyDescent="0.25">
      <c r="A197" s="41"/>
      <c r="B197" s="34"/>
      <c r="C197" s="42"/>
      <c r="D197" s="157" t="s">
        <v>280</v>
      </c>
      <c r="E197" s="154"/>
      <c r="F197" s="154"/>
      <c r="G197" s="154"/>
      <c r="H197" s="154"/>
      <c r="I197" s="65" t="s">
        <v>21</v>
      </c>
      <c r="J197" s="66" t="s">
        <v>19</v>
      </c>
      <c r="K197" s="66" t="s">
        <v>18</v>
      </c>
      <c r="L197" s="66" t="s">
        <v>4</v>
      </c>
      <c r="M197" s="67">
        <f>M198+M201</f>
        <v>115913.4</v>
      </c>
      <c r="N197" s="67">
        <f>N198+N201</f>
        <v>15000</v>
      </c>
      <c r="O197" s="67">
        <f t="shared" si="49"/>
        <v>130913.4</v>
      </c>
      <c r="P197" s="67">
        <v>130913.4</v>
      </c>
      <c r="Q197" s="67">
        <f>Q198+Q201</f>
        <v>6809.4</v>
      </c>
      <c r="R197" s="67">
        <f t="shared" si="50"/>
        <v>137722.79999999999</v>
      </c>
      <c r="S197" s="67">
        <v>187864.4</v>
      </c>
      <c r="T197" s="67">
        <f>SUM(T198+T199+T200+T201)</f>
        <v>-3961.6</v>
      </c>
      <c r="U197" s="67">
        <f t="shared" ref="U197:U202" si="51">SUM(S197:T197)</f>
        <v>183902.8</v>
      </c>
      <c r="V197" s="68" t="s">
        <v>449</v>
      </c>
      <c r="W197" s="1"/>
    </row>
    <row r="198" spans="1:24" ht="66.75" hidden="1" customHeight="1" outlineLevel="1" x14ac:dyDescent="0.25">
      <c r="A198" s="41"/>
      <c r="B198" s="34"/>
      <c r="C198" s="42"/>
      <c r="D198" s="12"/>
      <c r="E198" s="156" t="s">
        <v>281</v>
      </c>
      <c r="F198" s="155"/>
      <c r="G198" s="155"/>
      <c r="H198" s="155"/>
      <c r="I198" s="13" t="s">
        <v>20</v>
      </c>
      <c r="J198" s="5" t="s">
        <v>19</v>
      </c>
      <c r="K198" s="5" t="s">
        <v>18</v>
      </c>
      <c r="L198" s="5" t="s">
        <v>13</v>
      </c>
      <c r="M198" s="17">
        <v>0</v>
      </c>
      <c r="N198" s="17"/>
      <c r="O198" s="17">
        <f t="shared" ref="O198:O209" si="52">SUM(M198:N198)</f>
        <v>0</v>
      </c>
      <c r="P198" s="17">
        <v>0</v>
      </c>
      <c r="Q198" s="17">
        <f>3500+3294.4</f>
        <v>6794.4</v>
      </c>
      <c r="R198" s="17">
        <f t="shared" si="50"/>
        <v>6794.4</v>
      </c>
      <c r="S198" s="17">
        <v>7439.7</v>
      </c>
      <c r="T198" s="17"/>
      <c r="U198" s="17">
        <f t="shared" si="51"/>
        <v>7439.7</v>
      </c>
      <c r="V198" s="8"/>
      <c r="W198" s="1"/>
    </row>
    <row r="199" spans="1:24" ht="38.25" hidden="1" customHeight="1" outlineLevel="1" x14ac:dyDescent="0.25">
      <c r="A199" s="41"/>
      <c r="B199" s="34"/>
      <c r="C199" s="42"/>
      <c r="D199" s="12"/>
      <c r="E199" s="155" t="s">
        <v>353</v>
      </c>
      <c r="F199" s="155"/>
      <c r="G199" s="155"/>
      <c r="H199" s="155"/>
      <c r="I199" s="13"/>
      <c r="J199" s="5">
        <v>23</v>
      </c>
      <c r="K199" s="5">
        <v>2</v>
      </c>
      <c r="L199" s="9" t="s">
        <v>11</v>
      </c>
      <c r="M199" s="17">
        <v>0</v>
      </c>
      <c r="N199" s="17"/>
      <c r="O199" s="17">
        <f t="shared" si="52"/>
        <v>0</v>
      </c>
      <c r="P199" s="17">
        <v>0</v>
      </c>
      <c r="Q199" s="17"/>
      <c r="R199" s="17">
        <f t="shared" si="50"/>
        <v>0</v>
      </c>
      <c r="S199" s="17">
        <v>0</v>
      </c>
      <c r="T199" s="17"/>
      <c r="U199" s="17">
        <f t="shared" si="51"/>
        <v>0</v>
      </c>
      <c r="V199" s="8"/>
      <c r="W199" s="1"/>
    </row>
    <row r="200" spans="1:24" ht="42" hidden="1" customHeight="1" outlineLevel="1" x14ac:dyDescent="0.25">
      <c r="A200" s="41"/>
      <c r="B200" s="34"/>
      <c r="C200" s="42"/>
      <c r="D200" s="12"/>
      <c r="E200" s="155" t="s">
        <v>354</v>
      </c>
      <c r="F200" s="155"/>
      <c r="G200" s="155"/>
      <c r="H200" s="155"/>
      <c r="I200" s="13"/>
      <c r="J200" s="5">
        <v>23</v>
      </c>
      <c r="K200" s="5">
        <v>2</v>
      </c>
      <c r="L200" s="9" t="s">
        <v>26</v>
      </c>
      <c r="M200" s="17">
        <v>0</v>
      </c>
      <c r="N200" s="17"/>
      <c r="O200" s="17">
        <f t="shared" si="52"/>
        <v>0</v>
      </c>
      <c r="P200" s="17">
        <v>0</v>
      </c>
      <c r="Q200" s="17"/>
      <c r="R200" s="17">
        <f t="shared" si="50"/>
        <v>0</v>
      </c>
      <c r="S200" s="17">
        <v>0</v>
      </c>
      <c r="T200" s="17"/>
      <c r="U200" s="17">
        <f t="shared" si="51"/>
        <v>0</v>
      </c>
      <c r="V200" s="8"/>
      <c r="W200" s="1"/>
    </row>
    <row r="201" spans="1:24" ht="48" hidden="1" customHeight="1" outlineLevel="1" x14ac:dyDescent="0.25">
      <c r="A201" s="41"/>
      <c r="B201" s="34"/>
      <c r="C201" s="42"/>
      <c r="D201" s="12"/>
      <c r="E201" s="156" t="s">
        <v>279</v>
      </c>
      <c r="F201" s="155"/>
      <c r="G201" s="155"/>
      <c r="H201" s="155"/>
      <c r="I201" s="13" t="s">
        <v>16</v>
      </c>
      <c r="J201" s="5" t="s">
        <v>19</v>
      </c>
      <c r="K201" s="5" t="s">
        <v>18</v>
      </c>
      <c r="L201" s="5" t="s">
        <v>17</v>
      </c>
      <c r="M201" s="17">
        <v>115913.4</v>
      </c>
      <c r="N201" s="17">
        <f>15000</f>
        <v>15000</v>
      </c>
      <c r="O201" s="17">
        <f t="shared" si="52"/>
        <v>130913.4</v>
      </c>
      <c r="P201" s="17">
        <v>130913.4</v>
      </c>
      <c r="Q201" s="17">
        <f>15+0</f>
        <v>15</v>
      </c>
      <c r="R201" s="17">
        <f t="shared" si="50"/>
        <v>130928.4</v>
      </c>
      <c r="S201" s="17">
        <v>180424.7</v>
      </c>
      <c r="T201" s="17">
        <v>-3961.6</v>
      </c>
      <c r="U201" s="17">
        <f t="shared" si="51"/>
        <v>176463.1</v>
      </c>
      <c r="V201" s="8" t="s">
        <v>449</v>
      </c>
      <c r="W201" s="1"/>
    </row>
    <row r="202" spans="1:24" ht="161.25" customHeight="1" collapsed="1" thickBot="1" x14ac:dyDescent="0.3">
      <c r="A202" s="41"/>
      <c r="B202" s="34"/>
      <c r="C202" s="42"/>
      <c r="D202" s="190" t="s">
        <v>180</v>
      </c>
      <c r="E202" s="191"/>
      <c r="F202" s="191"/>
      <c r="G202" s="191"/>
      <c r="H202" s="192"/>
      <c r="I202" s="53" t="s">
        <v>15</v>
      </c>
      <c r="J202" s="86" t="s">
        <v>3</v>
      </c>
      <c r="K202" s="86" t="s">
        <v>2</v>
      </c>
      <c r="L202" s="86" t="s">
        <v>4</v>
      </c>
      <c r="M202" s="56">
        <f>M203+M204+M205+M206+M207+M208+M209</f>
        <v>41394.100000000006</v>
      </c>
      <c r="N202" s="56">
        <f>N203+N204+N205+N206+N207+N208+N209</f>
        <v>4057.2000000000003</v>
      </c>
      <c r="O202" s="56">
        <f>O203+O204+O205+O206+O207+O208+O209</f>
        <v>45451.3</v>
      </c>
      <c r="P202" s="56">
        <v>45451.3</v>
      </c>
      <c r="Q202" s="56">
        <f>Q203+Q204+Q205+Q206+Q207+Q208+Q209</f>
        <v>10346.4</v>
      </c>
      <c r="R202" s="56">
        <f>R203+R204+R205+R206+R207+R208+R209</f>
        <v>55797.700000000012</v>
      </c>
      <c r="S202" s="96">
        <v>57903.100000000013</v>
      </c>
      <c r="T202" s="96">
        <f>SUM(T203+T204+T205+T206+T207+T208+T209)</f>
        <v>4218.5</v>
      </c>
      <c r="U202" s="96">
        <f t="shared" si="51"/>
        <v>62121.600000000013</v>
      </c>
      <c r="V202" s="87" t="s">
        <v>448</v>
      </c>
      <c r="W202" s="1"/>
    </row>
    <row r="203" spans="1:24" ht="64.5" hidden="1" customHeight="1" outlineLevel="1" x14ac:dyDescent="0.25">
      <c r="A203" s="41"/>
      <c r="B203" s="34"/>
      <c r="C203" s="42"/>
      <c r="D203" s="12"/>
      <c r="E203" s="156" t="s">
        <v>282</v>
      </c>
      <c r="F203" s="155"/>
      <c r="G203" s="155"/>
      <c r="H203" s="155"/>
      <c r="I203" s="13" t="s">
        <v>14</v>
      </c>
      <c r="J203" s="5" t="s">
        <v>3</v>
      </c>
      <c r="K203" s="5" t="s">
        <v>2</v>
      </c>
      <c r="L203" s="5" t="s">
        <v>13</v>
      </c>
      <c r="M203" s="17">
        <v>10389.1</v>
      </c>
      <c r="N203" s="17"/>
      <c r="O203" s="17">
        <f t="shared" si="52"/>
        <v>10389.1</v>
      </c>
      <c r="P203" s="17">
        <v>10389.1</v>
      </c>
      <c r="Q203" s="17"/>
      <c r="R203" s="17">
        <f t="shared" ref="R203:R209" si="53">SUM(P203:Q203)</f>
        <v>10389.1</v>
      </c>
      <c r="S203" s="17">
        <v>10442.9</v>
      </c>
      <c r="T203" s="17">
        <f>0.5+14.8</f>
        <v>15.3</v>
      </c>
      <c r="U203" s="100">
        <f t="shared" ref="U203:U209" si="54">SUM(S203:T203)</f>
        <v>10458.199999999999</v>
      </c>
      <c r="V203" s="8" t="s">
        <v>421</v>
      </c>
      <c r="W203" s="1"/>
      <c r="X203" s="15"/>
    </row>
    <row r="204" spans="1:24" ht="84" hidden="1" customHeight="1" outlineLevel="1" x14ac:dyDescent="0.25">
      <c r="A204" s="41"/>
      <c r="B204" s="34"/>
      <c r="C204" s="42"/>
      <c r="D204" s="12"/>
      <c r="E204" s="155" t="s">
        <v>385</v>
      </c>
      <c r="F204" s="155"/>
      <c r="G204" s="155"/>
      <c r="H204" s="155"/>
      <c r="I204" s="13" t="s">
        <v>12</v>
      </c>
      <c r="J204" s="5" t="s">
        <v>3</v>
      </c>
      <c r="K204" s="5" t="s">
        <v>2</v>
      </c>
      <c r="L204" s="5" t="s">
        <v>11</v>
      </c>
      <c r="M204" s="17">
        <v>12479.7</v>
      </c>
      <c r="N204" s="17"/>
      <c r="O204" s="17">
        <f t="shared" si="52"/>
        <v>12479.7</v>
      </c>
      <c r="P204" s="17">
        <v>12479.7</v>
      </c>
      <c r="Q204" s="17">
        <v>-27.5</v>
      </c>
      <c r="R204" s="17">
        <f t="shared" si="53"/>
        <v>12452.2</v>
      </c>
      <c r="S204" s="17">
        <v>13758.6</v>
      </c>
      <c r="T204" s="17">
        <v>578.4</v>
      </c>
      <c r="U204" s="100">
        <f t="shared" si="54"/>
        <v>14337</v>
      </c>
      <c r="V204" s="8" t="s">
        <v>422</v>
      </c>
      <c r="W204" s="1"/>
    </row>
    <row r="205" spans="1:24" ht="27.75" hidden="1" customHeight="1" outlineLevel="1" x14ac:dyDescent="0.25">
      <c r="A205" s="41"/>
      <c r="B205" s="34"/>
      <c r="C205" s="42"/>
      <c r="D205" s="12"/>
      <c r="E205" s="156" t="s">
        <v>285</v>
      </c>
      <c r="F205" s="155"/>
      <c r="G205" s="155"/>
      <c r="H205" s="155"/>
      <c r="I205" s="13" t="s">
        <v>9</v>
      </c>
      <c r="J205" s="5" t="s">
        <v>3</v>
      </c>
      <c r="K205" s="5" t="s">
        <v>2</v>
      </c>
      <c r="L205" s="5" t="s">
        <v>10</v>
      </c>
      <c r="M205" s="17">
        <v>1500</v>
      </c>
      <c r="N205" s="17"/>
      <c r="O205" s="17">
        <f t="shared" si="52"/>
        <v>1500</v>
      </c>
      <c r="P205" s="17">
        <v>1500</v>
      </c>
      <c r="Q205" s="17">
        <v>-50.8</v>
      </c>
      <c r="R205" s="17">
        <f t="shared" si="53"/>
        <v>1449.2</v>
      </c>
      <c r="S205" s="17">
        <v>1356.1000000000001</v>
      </c>
      <c r="T205" s="17"/>
      <c r="U205" s="100">
        <f t="shared" si="54"/>
        <v>1356.1000000000001</v>
      </c>
      <c r="V205" s="8"/>
      <c r="W205" s="1"/>
    </row>
    <row r="206" spans="1:24" ht="57" hidden="1" customHeight="1" outlineLevel="1" x14ac:dyDescent="0.25">
      <c r="A206" s="41"/>
      <c r="B206" s="34"/>
      <c r="C206" s="42"/>
      <c r="D206" s="12"/>
      <c r="E206" s="155" t="s">
        <v>283</v>
      </c>
      <c r="F206" s="155"/>
      <c r="G206" s="155"/>
      <c r="H206" s="155"/>
      <c r="I206" s="13" t="s">
        <v>8</v>
      </c>
      <c r="J206" s="5" t="s">
        <v>3</v>
      </c>
      <c r="K206" s="5" t="s">
        <v>2</v>
      </c>
      <c r="L206" s="5" t="s">
        <v>7</v>
      </c>
      <c r="M206" s="17">
        <v>150</v>
      </c>
      <c r="N206" s="17">
        <f>3837.4+219.8</f>
        <v>4057.2000000000003</v>
      </c>
      <c r="O206" s="17">
        <f t="shared" si="52"/>
        <v>4207.2000000000007</v>
      </c>
      <c r="P206" s="17">
        <v>4207.2000000000007</v>
      </c>
      <c r="Q206" s="17">
        <f>615.5+270+1400+477.4+2500+2840.3</f>
        <v>8103.2</v>
      </c>
      <c r="R206" s="17">
        <f t="shared" si="53"/>
        <v>12310.400000000001</v>
      </c>
      <c r="S206" s="17">
        <v>20013.7</v>
      </c>
      <c r="T206" s="17">
        <f>300-0.5</f>
        <v>299.5</v>
      </c>
      <c r="U206" s="100">
        <f t="shared" si="54"/>
        <v>20313.2</v>
      </c>
      <c r="V206" s="8" t="s">
        <v>408</v>
      </c>
      <c r="W206" s="1"/>
    </row>
    <row r="207" spans="1:24" ht="146.25" hidden="1" customHeight="1" outlineLevel="1" x14ac:dyDescent="0.25">
      <c r="A207" s="41"/>
      <c r="B207" s="34"/>
      <c r="C207" s="42"/>
      <c r="D207" s="12"/>
      <c r="E207" s="156" t="s">
        <v>271</v>
      </c>
      <c r="F207" s="155"/>
      <c r="G207" s="155"/>
      <c r="H207" s="155"/>
      <c r="I207" s="13" t="s">
        <v>6</v>
      </c>
      <c r="J207" s="5" t="s">
        <v>3</v>
      </c>
      <c r="K207" s="5" t="s">
        <v>2</v>
      </c>
      <c r="L207" s="5" t="s">
        <v>5</v>
      </c>
      <c r="M207" s="17">
        <v>9875.2999999999993</v>
      </c>
      <c r="N207" s="17"/>
      <c r="O207" s="16">
        <f>SUM(M207:N207)</f>
        <v>9875.2999999999993</v>
      </c>
      <c r="P207" s="17">
        <v>9875.2999999999993</v>
      </c>
      <c r="Q207" s="17">
        <f>1817.3+302+129.5+72.7</f>
        <v>2321.5</v>
      </c>
      <c r="R207" s="16">
        <f t="shared" si="53"/>
        <v>12196.8</v>
      </c>
      <c r="S207" s="17">
        <v>12331.8</v>
      </c>
      <c r="T207" s="17">
        <f>3370-44.7</f>
        <v>3325.3</v>
      </c>
      <c r="U207" s="100">
        <f>SUM(S207:T207)</f>
        <v>15657.099999999999</v>
      </c>
      <c r="V207" s="8" t="s">
        <v>426</v>
      </c>
      <c r="W207" s="1"/>
    </row>
    <row r="208" spans="1:24" ht="23.25" hidden="1" customHeight="1" outlineLevel="1" x14ac:dyDescent="0.25">
      <c r="A208" s="41"/>
      <c r="B208" s="34"/>
      <c r="C208" s="42"/>
      <c r="D208" s="12"/>
      <c r="E208" s="156" t="s">
        <v>284</v>
      </c>
      <c r="F208" s="155"/>
      <c r="G208" s="155"/>
      <c r="H208" s="155"/>
      <c r="I208" s="14" t="s">
        <v>0</v>
      </c>
      <c r="J208" s="6" t="s">
        <v>3</v>
      </c>
      <c r="K208" s="6" t="s">
        <v>2</v>
      </c>
      <c r="L208" s="6" t="s">
        <v>1</v>
      </c>
      <c r="M208" s="16">
        <v>7000</v>
      </c>
      <c r="N208" s="16"/>
      <c r="O208" s="17">
        <f t="shared" si="52"/>
        <v>7000</v>
      </c>
      <c r="P208" s="16">
        <v>7000</v>
      </c>
      <c r="Q208" s="16"/>
      <c r="R208" s="17">
        <f t="shared" si="53"/>
        <v>7000</v>
      </c>
      <c r="S208" s="17">
        <v>0</v>
      </c>
      <c r="T208" s="17"/>
      <c r="U208" s="100">
        <f t="shared" si="54"/>
        <v>0</v>
      </c>
      <c r="V208" s="8"/>
      <c r="W208" s="1"/>
    </row>
    <row r="209" spans="1:23" ht="35.25" hidden="1" customHeight="1" outlineLevel="1" thickBot="1" x14ac:dyDescent="0.3">
      <c r="A209" s="10"/>
      <c r="B209" s="11"/>
      <c r="C209" s="46"/>
      <c r="D209" s="47"/>
      <c r="E209" s="198" t="s">
        <v>295</v>
      </c>
      <c r="F209" s="199"/>
      <c r="G209" s="199"/>
      <c r="H209" s="199"/>
      <c r="I209" s="23"/>
      <c r="J209" s="24" t="s">
        <v>3</v>
      </c>
      <c r="K209" s="24" t="s">
        <v>2</v>
      </c>
      <c r="L209" s="24" t="s">
        <v>296</v>
      </c>
      <c r="M209" s="25">
        <v>0</v>
      </c>
      <c r="N209" s="25"/>
      <c r="O209" s="26">
        <f t="shared" si="52"/>
        <v>0</v>
      </c>
      <c r="P209" s="25">
        <v>0</v>
      </c>
      <c r="Q209" s="25"/>
      <c r="R209" s="26">
        <f t="shared" si="53"/>
        <v>0</v>
      </c>
      <c r="S209" s="26">
        <v>0</v>
      </c>
      <c r="T209" s="26"/>
      <c r="U209" s="100">
        <f t="shared" si="54"/>
        <v>0</v>
      </c>
      <c r="V209" s="27"/>
      <c r="W209" s="1"/>
    </row>
    <row r="210" spans="1:23" ht="25.5" customHeight="1" collapsed="1" thickBot="1" x14ac:dyDescent="0.3">
      <c r="A210" s="10"/>
      <c r="B210" s="11"/>
      <c r="C210" s="11"/>
      <c r="D210" s="4"/>
      <c r="E210" s="193" t="s">
        <v>181</v>
      </c>
      <c r="F210" s="194"/>
      <c r="G210" s="194"/>
      <c r="H210" s="194"/>
      <c r="I210" s="194"/>
      <c r="J210" s="194"/>
      <c r="K210" s="194"/>
      <c r="L210" s="195"/>
      <c r="M210" s="88">
        <f t="shared" ref="M210:R210" si="55">(M9+M17+M22+M29+M41+M46+M59+M61+M63+M77+M81+M94+M99+M108+M125+M127+M130+M140+M151+M175+M177+M188+M202)</f>
        <v>5116037.0999999987</v>
      </c>
      <c r="N210" s="89">
        <f t="shared" si="55"/>
        <v>46159.1</v>
      </c>
      <c r="O210" s="89">
        <f t="shared" si="55"/>
        <v>5162196.1999999993</v>
      </c>
      <c r="P210" s="88">
        <f t="shared" si="55"/>
        <v>5162196.1999999993</v>
      </c>
      <c r="Q210" s="89">
        <f t="shared" si="55"/>
        <v>149755.89999999997</v>
      </c>
      <c r="R210" s="89">
        <f t="shared" si="55"/>
        <v>5311952.0999999996</v>
      </c>
      <c r="S210" s="89">
        <v>5497115.2999999998</v>
      </c>
      <c r="T210" s="89">
        <f>SUM(T9+T17+T22+T29+T41+T46+T59+T61+T63+T77+T81+T94+T99+T108+T125+T127+T130+T140+T151+T175+T177+T188+T202)</f>
        <v>518028.69999999995</v>
      </c>
      <c r="U210" s="89">
        <f>S210+T210</f>
        <v>6015144</v>
      </c>
      <c r="V210" s="90"/>
      <c r="W210" s="1"/>
    </row>
    <row r="211" spans="1:23" ht="12.75" hidden="1" customHeight="1" x14ac:dyDescent="0.25">
      <c r="A211" s="1"/>
      <c r="B211" s="1"/>
      <c r="C211" s="1"/>
      <c r="D211" s="1"/>
      <c r="E211" s="1"/>
      <c r="F211" s="1" t="s">
        <v>291</v>
      </c>
      <c r="G211" s="1"/>
      <c r="H211" s="1"/>
      <c r="I211" s="1"/>
      <c r="J211" s="1"/>
      <c r="K211" s="1"/>
      <c r="L211" s="1"/>
      <c r="M211" s="48"/>
      <c r="N211" s="48"/>
      <c r="O211" s="48"/>
      <c r="P211" s="48"/>
      <c r="Q211" s="48"/>
      <c r="R211" s="48"/>
      <c r="S211" s="48"/>
      <c r="T211" s="48"/>
      <c r="U211" s="48"/>
      <c r="V211" s="1"/>
      <c r="W211" s="1"/>
    </row>
    <row r="212" spans="1:23" hidden="1" x14ac:dyDescent="0.25">
      <c r="T212" s="32">
        <v>188362.1</v>
      </c>
      <c r="U212" s="32">
        <v>5500314.2000000002</v>
      </c>
    </row>
    <row r="213" spans="1:23" hidden="1" x14ac:dyDescent="0.25"/>
    <row r="214" spans="1:23" hidden="1" x14ac:dyDescent="0.25">
      <c r="M214" s="40"/>
      <c r="P214" s="40"/>
      <c r="T214" s="40">
        <f>T210-T212</f>
        <v>329666.59999999998</v>
      </c>
    </row>
    <row r="216" spans="1:23" x14ac:dyDescent="0.25">
      <c r="O216" s="40"/>
      <c r="R216" s="40"/>
      <c r="S216" s="40"/>
      <c r="T216" s="40"/>
      <c r="U216" s="40"/>
    </row>
    <row r="218" spans="1:23" x14ac:dyDescent="0.25">
      <c r="N218" s="40"/>
      <c r="Q218" s="40"/>
    </row>
  </sheetData>
  <mergeCells count="225">
    <mergeCell ref="E26:H26"/>
    <mergeCell ref="E28:H28"/>
    <mergeCell ref="E167:H167"/>
    <mergeCell ref="E181:H181"/>
    <mergeCell ref="M152:M153"/>
    <mergeCell ref="E70:H70"/>
    <mergeCell ref="D87:H87"/>
    <mergeCell ref="E83:H83"/>
    <mergeCell ref="E97:H97"/>
    <mergeCell ref="E80:H80"/>
    <mergeCell ref="E128:H128"/>
    <mergeCell ref="E96:H96"/>
    <mergeCell ref="D42:H42"/>
    <mergeCell ref="D44:H44"/>
    <mergeCell ref="D146:H146"/>
    <mergeCell ref="E144:H144"/>
    <mergeCell ref="E145:H145"/>
    <mergeCell ref="E142:H142"/>
    <mergeCell ref="E138:H138"/>
    <mergeCell ref="E139:H139"/>
    <mergeCell ref="E133:H133"/>
    <mergeCell ref="D46:H46"/>
    <mergeCell ref="E129:H129"/>
    <mergeCell ref="D47:H47"/>
    <mergeCell ref="E71:H71"/>
    <mergeCell ref="D69:H69"/>
    <mergeCell ref="E65:H65"/>
    <mergeCell ref="E88:H88"/>
    <mergeCell ref="D81:H81"/>
    <mergeCell ref="E73:H73"/>
    <mergeCell ref="E95:H95"/>
    <mergeCell ref="E72:H72"/>
    <mergeCell ref="D59:H59"/>
    <mergeCell ref="D63:H63"/>
    <mergeCell ref="E78:H78"/>
    <mergeCell ref="E75:H75"/>
    <mergeCell ref="E76:H76"/>
    <mergeCell ref="E48:H48"/>
    <mergeCell ref="E50:H50"/>
    <mergeCell ref="E52:H52"/>
    <mergeCell ref="E60:H60"/>
    <mergeCell ref="E58:H58"/>
    <mergeCell ref="E67:H67"/>
    <mergeCell ref="D127:H127"/>
    <mergeCell ref="D104:H104"/>
    <mergeCell ref="E118:H118"/>
    <mergeCell ref="E74:I74"/>
    <mergeCell ref="E98:H98"/>
    <mergeCell ref="D92:H92"/>
    <mergeCell ref="E120:H120"/>
    <mergeCell ref="D119:H119"/>
    <mergeCell ref="E126:H126"/>
    <mergeCell ref="D121:H121"/>
    <mergeCell ref="E85:H85"/>
    <mergeCell ref="E86:H86"/>
    <mergeCell ref="D84:H84"/>
    <mergeCell ref="D123:H123"/>
    <mergeCell ref="E91:H91"/>
    <mergeCell ref="E93:H93"/>
    <mergeCell ref="D99:H99"/>
    <mergeCell ref="D125:H125"/>
    <mergeCell ref="D106:H106"/>
    <mergeCell ref="E107:H107"/>
    <mergeCell ref="D109:H109"/>
    <mergeCell ref="E89:H89"/>
    <mergeCell ref="D77:H77"/>
    <mergeCell ref="E105:H105"/>
    <mergeCell ref="E101:H101"/>
    <mergeCell ref="E102:H102"/>
    <mergeCell ref="E79:H79"/>
    <mergeCell ref="V152:V153"/>
    <mergeCell ref="N152:N153"/>
    <mergeCell ref="E209:H209"/>
    <mergeCell ref="V5:V7"/>
    <mergeCell ref="D9:H9"/>
    <mergeCell ref="D17:H17"/>
    <mergeCell ref="D22:H22"/>
    <mergeCell ref="E15:H15"/>
    <mergeCell ref="E20:H20"/>
    <mergeCell ref="E21:H21"/>
    <mergeCell ref="I5:I7"/>
    <mergeCell ref="E186:H186"/>
    <mergeCell ref="O5:O7"/>
    <mergeCell ref="E18:H18"/>
    <mergeCell ref="O152:O153"/>
    <mergeCell ref="D108:H108"/>
    <mergeCell ref="E117:H117"/>
    <mergeCell ref="E115:H115"/>
    <mergeCell ref="E62:H62"/>
    <mergeCell ref="D140:H140"/>
    <mergeCell ref="D151:H151"/>
    <mergeCell ref="E135:H135"/>
    <mergeCell ref="E134:H134"/>
    <mergeCell ref="D136:H136"/>
    <mergeCell ref="E210:L210"/>
    <mergeCell ref="E176:H176"/>
    <mergeCell ref="D177:H177"/>
    <mergeCell ref="D197:H197"/>
    <mergeCell ref="E183:H183"/>
    <mergeCell ref="E201:H201"/>
    <mergeCell ref="E208:H208"/>
    <mergeCell ref="E207:H207"/>
    <mergeCell ref="E194:H194"/>
    <mergeCell ref="D182:H182"/>
    <mergeCell ref="E180:H180"/>
    <mergeCell ref="D188:H188"/>
    <mergeCell ref="D189:H189"/>
    <mergeCell ref="E190:H190"/>
    <mergeCell ref="E185:H185"/>
    <mergeCell ref="E187:H187"/>
    <mergeCell ref="E191:H191"/>
    <mergeCell ref="E199:H199"/>
    <mergeCell ref="D184:H184"/>
    <mergeCell ref="D178:H178"/>
    <mergeCell ref="E179:H179"/>
    <mergeCell ref="E192:H192"/>
    <mergeCell ref="E193:H193"/>
    <mergeCell ref="E200:H200"/>
    <mergeCell ref="E163:H163"/>
    <mergeCell ref="E159:H159"/>
    <mergeCell ref="E160:H160"/>
    <mergeCell ref="D162:H162"/>
    <mergeCell ref="D175:H175"/>
    <mergeCell ref="E171:H171"/>
    <mergeCell ref="E172:H172"/>
    <mergeCell ref="E165:H165"/>
    <mergeCell ref="E174:H174"/>
    <mergeCell ref="E168:H168"/>
    <mergeCell ref="E198:H198"/>
    <mergeCell ref="E203:H203"/>
    <mergeCell ref="E204:H204"/>
    <mergeCell ref="E206:H206"/>
    <mergeCell ref="E205:H205"/>
    <mergeCell ref="E164:H164"/>
    <mergeCell ref="E170:H170"/>
    <mergeCell ref="D169:H169"/>
    <mergeCell ref="E166:H166"/>
    <mergeCell ref="D173:H173"/>
    <mergeCell ref="D202:H202"/>
    <mergeCell ref="E195:H195"/>
    <mergeCell ref="E196:H196"/>
    <mergeCell ref="E156:H156"/>
    <mergeCell ref="D152:H153"/>
    <mergeCell ref="E147:H147"/>
    <mergeCell ref="E157:H157"/>
    <mergeCell ref="E161:H161"/>
    <mergeCell ref="D148:H148"/>
    <mergeCell ref="E150:H150"/>
    <mergeCell ref="D130:H130"/>
    <mergeCell ref="D131:H131"/>
    <mergeCell ref="E154:H154"/>
    <mergeCell ref="E155:H155"/>
    <mergeCell ref="E158:H158"/>
    <mergeCell ref="N5:N7"/>
    <mergeCell ref="D30:H30"/>
    <mergeCell ref="D41:H41"/>
    <mergeCell ref="E37:H37"/>
    <mergeCell ref="D29:H29"/>
    <mergeCell ref="E27:H27"/>
    <mergeCell ref="E38:H38"/>
    <mergeCell ref="E40:H40"/>
    <mergeCell ref="E31:H31"/>
    <mergeCell ref="D10:H10"/>
    <mergeCell ref="E11:H11"/>
    <mergeCell ref="E13:H13"/>
    <mergeCell ref="E16:H16"/>
    <mergeCell ref="D39:H39"/>
    <mergeCell ref="M5:M7"/>
    <mergeCell ref="D12:H12"/>
    <mergeCell ref="D14:H14"/>
    <mergeCell ref="D5:H7"/>
    <mergeCell ref="D35:H35"/>
    <mergeCell ref="J5:L7"/>
    <mergeCell ref="E19:H19"/>
    <mergeCell ref="E32:H32"/>
    <mergeCell ref="E33:H33"/>
    <mergeCell ref="E34:H34"/>
    <mergeCell ref="E25:H25"/>
    <mergeCell ref="E23:H23"/>
    <mergeCell ref="E24:H24"/>
    <mergeCell ref="E45:H45"/>
    <mergeCell ref="E43:H43"/>
    <mergeCell ref="D61:H61"/>
    <mergeCell ref="E36:H36"/>
    <mergeCell ref="E113:H113"/>
    <mergeCell ref="J152:J153"/>
    <mergeCell ref="E49:H49"/>
    <mergeCell ref="E54:H54"/>
    <mergeCell ref="E56:H56"/>
    <mergeCell ref="D57:H57"/>
    <mergeCell ref="E51:H51"/>
    <mergeCell ref="D100:H100"/>
    <mergeCell ref="E68:H68"/>
    <mergeCell ref="E103:H103"/>
    <mergeCell ref="E66:H66"/>
    <mergeCell ref="D64:H64"/>
    <mergeCell ref="D53:H53"/>
    <mergeCell ref="D94:H94"/>
    <mergeCell ref="E55:H55"/>
    <mergeCell ref="E90:H90"/>
    <mergeCell ref="D82:H82"/>
    <mergeCell ref="K152:K153"/>
    <mergeCell ref="L152:L153"/>
    <mergeCell ref="D114:H114"/>
    <mergeCell ref="E110:H110"/>
    <mergeCell ref="E124:H124"/>
    <mergeCell ref="E111:H111"/>
    <mergeCell ref="E116:H116"/>
    <mergeCell ref="E122:H122"/>
    <mergeCell ref="D141:H141"/>
    <mergeCell ref="E132:H132"/>
    <mergeCell ref="E149:H149"/>
    <mergeCell ref="E137:H137"/>
    <mergeCell ref="E143:H143"/>
    <mergeCell ref="I152:I153"/>
    <mergeCell ref="E112:H112"/>
    <mergeCell ref="S5:S7"/>
    <mergeCell ref="T5:T7"/>
    <mergeCell ref="U5:U7"/>
    <mergeCell ref="P5:P7"/>
    <mergeCell ref="Q5:Q7"/>
    <mergeCell ref="R5:R7"/>
    <mergeCell ref="P152:P153"/>
    <mergeCell ref="Q152:Q153"/>
    <mergeCell ref="R152:R153"/>
  </mergeCells>
  <pageMargins left="0.78740157480314965" right="0.39370078740157483" top="0.98425196850393704" bottom="0" header="0.51181102362204722" footer="0.23622047244094491"/>
  <pageSetup paperSize="9" scale="62" fitToHeight="18" orientation="landscape" r:id="rId1"/>
  <headerFooter alignWithMargins="0"/>
  <rowBreaks count="2" manualBreakCount="2">
    <brk id="159" min="3" max="25" man="1"/>
    <brk id="182" min="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9"/>
  <sheetViews>
    <sheetView showGridLines="0" tabSelected="1" topLeftCell="C198" zoomScale="80" zoomScaleNormal="80" zoomScaleSheetLayoutView="100" workbookViewId="0">
      <selection activeCell="P223" sqref="P223"/>
    </sheetView>
  </sheetViews>
  <sheetFormatPr defaultColWidth="9.109375" defaultRowHeight="13.2" outlineLevelRow="3" outlineLevelCol="1" x14ac:dyDescent="0.25"/>
  <cols>
    <col min="1" max="1" width="2.88671875" style="32" hidden="1" customWidth="1"/>
    <col min="2" max="2" width="1.5546875" style="32" hidden="1" customWidth="1"/>
    <col min="3" max="3" width="2.5546875" style="32" customWidth="1"/>
    <col min="4" max="4" width="1.109375" style="32" customWidth="1"/>
    <col min="5" max="7" width="2.6640625" style="32" customWidth="1"/>
    <col min="8" max="8" width="50.88671875" style="32" customWidth="1"/>
    <col min="9" max="9" width="21.5546875" style="32" hidden="1" customWidth="1"/>
    <col min="10" max="10" width="6.109375" style="32" customWidth="1"/>
    <col min="11" max="12" width="4.88671875" style="32" customWidth="1"/>
    <col min="13" max="15" width="13.44140625" style="32" customWidth="1" outlineLevel="1"/>
    <col min="16" max="16" width="65.109375" style="32" customWidth="1"/>
    <col min="17" max="17" width="1" style="32" customWidth="1"/>
    <col min="18" max="18" width="27.5546875" style="32" hidden="1" customWidth="1"/>
    <col min="19" max="240" width="9.109375" style="32" customWidth="1"/>
    <col min="241" max="16384" width="9.109375" style="32"/>
  </cols>
  <sheetData>
    <row r="1" spans="1:17" ht="13.5" customHeight="1" x14ac:dyDescent="0.3">
      <c r="A1" s="1"/>
      <c r="B1" s="1"/>
      <c r="C1" s="1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92" t="s">
        <v>455</v>
      </c>
      <c r="Q1" s="1"/>
    </row>
    <row r="2" spans="1:17" ht="13.5" customHeight="1" x14ac:dyDescent="0.3">
      <c r="A2" s="1"/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92" t="s">
        <v>177</v>
      </c>
      <c r="Q2" s="1"/>
    </row>
    <row r="3" spans="1:17" ht="27.75" customHeight="1" x14ac:dyDescent="0.25">
      <c r="A3" s="1"/>
      <c r="B3" s="1"/>
      <c r="C3" s="1"/>
      <c r="D3" s="1" t="s">
        <v>357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7.5" customHeight="1" thickBot="1" x14ac:dyDescent="0.3">
      <c r="A5" s="33"/>
      <c r="B5" s="1"/>
      <c r="D5" s="166" t="s">
        <v>337</v>
      </c>
      <c r="E5" s="167"/>
      <c r="F5" s="167"/>
      <c r="G5" s="167"/>
      <c r="H5" s="138"/>
      <c r="I5" s="203" t="s">
        <v>173</v>
      </c>
      <c r="J5" s="174" t="s">
        <v>174</v>
      </c>
      <c r="K5" s="175"/>
      <c r="L5" s="176"/>
      <c r="M5" s="138" t="s">
        <v>678</v>
      </c>
      <c r="N5" s="141" t="s">
        <v>175</v>
      </c>
      <c r="O5" s="144" t="s">
        <v>292</v>
      </c>
      <c r="P5" s="144" t="s">
        <v>176</v>
      </c>
      <c r="Q5" s="1"/>
    </row>
    <row r="6" spans="1:17" ht="11.25" customHeight="1" thickBot="1" x14ac:dyDescent="0.3">
      <c r="A6" s="34"/>
      <c r="B6" s="34"/>
      <c r="C6" s="130"/>
      <c r="D6" s="168"/>
      <c r="E6" s="169"/>
      <c r="F6" s="169"/>
      <c r="G6" s="169"/>
      <c r="H6" s="170"/>
      <c r="I6" s="203"/>
      <c r="J6" s="177"/>
      <c r="K6" s="178"/>
      <c r="L6" s="139"/>
      <c r="M6" s="139"/>
      <c r="N6" s="142"/>
      <c r="O6" s="145"/>
      <c r="P6" s="142"/>
      <c r="Q6" s="1"/>
    </row>
    <row r="7" spans="1:17" ht="53.25" customHeight="1" thickBot="1" x14ac:dyDescent="0.3">
      <c r="A7" s="34"/>
      <c r="B7" s="34"/>
      <c r="C7" s="130"/>
      <c r="D7" s="171"/>
      <c r="E7" s="172"/>
      <c r="F7" s="172"/>
      <c r="G7" s="172"/>
      <c r="H7" s="173"/>
      <c r="I7" s="203"/>
      <c r="J7" s="179"/>
      <c r="K7" s="180"/>
      <c r="L7" s="140"/>
      <c r="M7" s="140"/>
      <c r="N7" s="143"/>
      <c r="O7" s="146"/>
      <c r="P7" s="143"/>
      <c r="Q7" s="1"/>
    </row>
    <row r="8" spans="1:17" ht="12.75" hidden="1" customHeight="1" x14ac:dyDescent="0.25">
      <c r="A8" s="34"/>
      <c r="B8" s="34"/>
      <c r="C8" s="131" t="s">
        <v>23</v>
      </c>
      <c r="D8" s="76"/>
      <c r="E8" s="36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1"/>
    </row>
    <row r="9" spans="1:17" ht="32.25" customHeight="1" x14ac:dyDescent="0.25">
      <c r="A9" s="37"/>
      <c r="B9" s="38"/>
      <c r="D9" s="242" t="s">
        <v>309</v>
      </c>
      <c r="E9" s="243"/>
      <c r="F9" s="243"/>
      <c r="G9" s="243"/>
      <c r="H9" s="244"/>
      <c r="I9" s="105" t="s">
        <v>172</v>
      </c>
      <c r="J9" s="106" t="s">
        <v>13</v>
      </c>
      <c r="K9" s="106" t="s">
        <v>4</v>
      </c>
      <c r="L9" s="106" t="s">
        <v>4</v>
      </c>
      <c r="M9" s="107">
        <f>M10+M12+M14</f>
        <v>41848.9</v>
      </c>
      <c r="N9" s="107">
        <f>N10+N12+N14</f>
        <v>0</v>
      </c>
      <c r="O9" s="107">
        <f>O10+O12+O14</f>
        <v>41848.9</v>
      </c>
      <c r="P9" s="108"/>
      <c r="Q9" s="1"/>
    </row>
    <row r="10" spans="1:17" ht="45.75" customHeight="1" x14ac:dyDescent="0.25">
      <c r="A10" s="41"/>
      <c r="B10" s="34"/>
      <c r="C10" s="43"/>
      <c r="D10" s="208" t="s">
        <v>487</v>
      </c>
      <c r="E10" s="155"/>
      <c r="F10" s="155"/>
      <c r="G10" s="155"/>
      <c r="H10" s="155"/>
      <c r="I10" s="13" t="s">
        <v>171</v>
      </c>
      <c r="J10" s="5" t="s">
        <v>13</v>
      </c>
      <c r="K10" s="5" t="s">
        <v>23</v>
      </c>
      <c r="L10" s="5" t="s">
        <v>4</v>
      </c>
      <c r="M10" s="17">
        <f>SUM(M11)</f>
        <v>1600</v>
      </c>
      <c r="N10" s="17">
        <f>SUM(N11)</f>
        <v>50</v>
      </c>
      <c r="O10" s="17">
        <f>SUM(O11)</f>
        <v>1650</v>
      </c>
      <c r="P10" s="8" t="s">
        <v>659</v>
      </c>
      <c r="Q10" s="1"/>
    </row>
    <row r="11" spans="1:17" ht="32.25" hidden="1" customHeight="1" outlineLevel="1" x14ac:dyDescent="0.25">
      <c r="A11" s="41"/>
      <c r="B11" s="34"/>
      <c r="C11" s="43"/>
      <c r="D11" s="207" t="s">
        <v>488</v>
      </c>
      <c r="E11" s="160"/>
      <c r="F11" s="160"/>
      <c r="G11" s="160"/>
      <c r="H11" s="161"/>
      <c r="I11" s="13" t="s">
        <v>171</v>
      </c>
      <c r="J11" s="5" t="s">
        <v>13</v>
      </c>
      <c r="K11" s="5" t="s">
        <v>23</v>
      </c>
      <c r="L11" s="5" t="s">
        <v>13</v>
      </c>
      <c r="M11" s="17">
        <v>1600</v>
      </c>
      <c r="N11" s="17">
        <v>50</v>
      </c>
      <c r="O11" s="17">
        <f>SUM(M11:N11)</f>
        <v>1650</v>
      </c>
      <c r="P11" s="8" t="s">
        <v>659</v>
      </c>
      <c r="Q11" s="1"/>
    </row>
    <row r="12" spans="1:17" ht="51.75" customHeight="1" collapsed="1" x14ac:dyDescent="0.25">
      <c r="A12" s="41"/>
      <c r="B12" s="34"/>
      <c r="C12" s="43"/>
      <c r="D12" s="208" t="s">
        <v>489</v>
      </c>
      <c r="E12" s="155"/>
      <c r="F12" s="155"/>
      <c r="G12" s="155"/>
      <c r="H12" s="155"/>
      <c r="I12" s="13" t="s">
        <v>170</v>
      </c>
      <c r="J12" s="5" t="s">
        <v>13</v>
      </c>
      <c r="K12" s="5" t="s">
        <v>18</v>
      </c>
      <c r="L12" s="5" t="s">
        <v>4</v>
      </c>
      <c r="M12" s="17">
        <f>M13</f>
        <v>150</v>
      </c>
      <c r="N12" s="17">
        <f>N13</f>
        <v>-50</v>
      </c>
      <c r="O12" s="17">
        <f>O13</f>
        <v>100</v>
      </c>
      <c r="P12" s="8" t="s">
        <v>660</v>
      </c>
      <c r="Q12" s="1"/>
    </row>
    <row r="13" spans="1:17" ht="53.25" hidden="1" customHeight="1" outlineLevel="1" x14ac:dyDescent="0.25">
      <c r="A13" s="41"/>
      <c r="B13" s="34"/>
      <c r="C13" s="43"/>
      <c r="D13" s="207" t="s">
        <v>490</v>
      </c>
      <c r="E13" s="160"/>
      <c r="F13" s="160"/>
      <c r="G13" s="160"/>
      <c r="H13" s="161"/>
      <c r="I13" s="13" t="s">
        <v>170</v>
      </c>
      <c r="J13" s="5" t="s">
        <v>13</v>
      </c>
      <c r="K13" s="5" t="s">
        <v>18</v>
      </c>
      <c r="L13" s="5" t="s">
        <v>13</v>
      </c>
      <c r="M13" s="17">
        <v>150</v>
      </c>
      <c r="N13" s="17">
        <v>-50</v>
      </c>
      <c r="O13" s="17">
        <f>SUM(M13:N13)</f>
        <v>100</v>
      </c>
      <c r="P13" s="8" t="s">
        <v>660</v>
      </c>
      <c r="Q13" s="1"/>
    </row>
    <row r="14" spans="1:17" ht="36" customHeight="1" collapsed="1" x14ac:dyDescent="0.25">
      <c r="A14" s="41"/>
      <c r="B14" s="34"/>
      <c r="C14" s="43"/>
      <c r="D14" s="208" t="s">
        <v>491</v>
      </c>
      <c r="E14" s="155"/>
      <c r="F14" s="155"/>
      <c r="G14" s="155"/>
      <c r="H14" s="155"/>
      <c r="I14" s="13" t="s">
        <v>169</v>
      </c>
      <c r="J14" s="5" t="s">
        <v>13</v>
      </c>
      <c r="K14" s="5" t="s">
        <v>27</v>
      </c>
      <c r="L14" s="5" t="s">
        <v>4</v>
      </c>
      <c r="M14" s="17">
        <f>M15+M16</f>
        <v>40098.9</v>
      </c>
      <c r="N14" s="17">
        <f>N15+N16</f>
        <v>0</v>
      </c>
      <c r="O14" s="17">
        <f>O15+O16</f>
        <v>40098.9</v>
      </c>
      <c r="P14" s="8"/>
      <c r="Q14" s="1"/>
    </row>
    <row r="15" spans="1:17" ht="47.25" hidden="1" customHeight="1" outlineLevel="1" x14ac:dyDescent="0.25">
      <c r="A15" s="41"/>
      <c r="B15" s="34"/>
      <c r="C15" s="43"/>
      <c r="D15" s="207" t="s">
        <v>492</v>
      </c>
      <c r="E15" s="160"/>
      <c r="F15" s="160"/>
      <c r="G15" s="160"/>
      <c r="H15" s="161"/>
      <c r="I15" s="13" t="s">
        <v>168</v>
      </c>
      <c r="J15" s="5" t="s">
        <v>13</v>
      </c>
      <c r="K15" s="5" t="s">
        <v>27</v>
      </c>
      <c r="L15" s="5" t="s">
        <v>13</v>
      </c>
      <c r="M15" s="17">
        <v>40048.9</v>
      </c>
      <c r="N15" s="17"/>
      <c r="O15" s="17">
        <f t="shared" ref="O15:O22" si="0">SUM(M15:N15)</f>
        <v>40048.9</v>
      </c>
      <c r="P15" s="8"/>
      <c r="Q15" s="1"/>
    </row>
    <row r="16" spans="1:17" ht="40.5" hidden="1" customHeight="1" outlineLevel="1" x14ac:dyDescent="0.25">
      <c r="A16" s="41"/>
      <c r="B16" s="34"/>
      <c r="C16" s="43"/>
      <c r="D16" s="207" t="s">
        <v>493</v>
      </c>
      <c r="E16" s="160"/>
      <c r="F16" s="160"/>
      <c r="G16" s="160"/>
      <c r="H16" s="161"/>
      <c r="I16" s="13" t="s">
        <v>167</v>
      </c>
      <c r="J16" s="5" t="s">
        <v>13</v>
      </c>
      <c r="K16" s="5" t="s">
        <v>27</v>
      </c>
      <c r="L16" s="5" t="s">
        <v>11</v>
      </c>
      <c r="M16" s="17">
        <v>50</v>
      </c>
      <c r="N16" s="17"/>
      <c r="O16" s="17">
        <f t="shared" si="0"/>
        <v>50</v>
      </c>
      <c r="P16" s="8"/>
      <c r="Q16" s="1"/>
    </row>
    <row r="17" spans="1:17" ht="43.5" customHeight="1" collapsed="1" x14ac:dyDescent="0.25">
      <c r="A17" s="41"/>
      <c r="B17" s="1"/>
      <c r="D17" s="216" t="s">
        <v>310</v>
      </c>
      <c r="E17" s="217"/>
      <c r="F17" s="217"/>
      <c r="G17" s="217"/>
      <c r="H17" s="218"/>
      <c r="I17" s="109" t="s">
        <v>166</v>
      </c>
      <c r="J17" s="110" t="s">
        <v>11</v>
      </c>
      <c r="K17" s="110" t="s">
        <v>4</v>
      </c>
      <c r="L17" s="110" t="s">
        <v>4</v>
      </c>
      <c r="M17" s="97">
        <f>M18+M19+M20+M21</f>
        <v>2509.1</v>
      </c>
      <c r="N17" s="99">
        <f>SUM(N18+N19+N20+N21)</f>
        <v>0</v>
      </c>
      <c r="O17" s="97">
        <f t="shared" si="0"/>
        <v>2509.1</v>
      </c>
      <c r="P17" s="8"/>
      <c r="Q17" s="1"/>
    </row>
    <row r="18" spans="1:17" ht="39.75" hidden="1" customHeight="1" outlineLevel="1" x14ac:dyDescent="0.25">
      <c r="A18" s="41"/>
      <c r="B18" s="34"/>
      <c r="C18" s="43"/>
      <c r="D18" s="207" t="s">
        <v>494</v>
      </c>
      <c r="E18" s="160"/>
      <c r="F18" s="160"/>
      <c r="G18" s="160"/>
      <c r="H18" s="161"/>
      <c r="I18" s="13" t="s">
        <v>165</v>
      </c>
      <c r="J18" s="5" t="s">
        <v>11</v>
      </c>
      <c r="K18" s="5" t="s">
        <v>2</v>
      </c>
      <c r="L18" s="5" t="s">
        <v>13</v>
      </c>
      <c r="M18" s="119">
        <v>2003.6</v>
      </c>
      <c r="N18" s="17"/>
      <c r="O18" s="17">
        <f t="shared" si="0"/>
        <v>2003.6</v>
      </c>
      <c r="P18" s="8"/>
      <c r="Q18" s="1"/>
    </row>
    <row r="19" spans="1:17" ht="51" hidden="1" customHeight="1" outlineLevel="1" x14ac:dyDescent="0.25">
      <c r="A19" s="41"/>
      <c r="B19" s="34"/>
      <c r="C19" s="43"/>
      <c r="D19" s="207" t="s">
        <v>495</v>
      </c>
      <c r="E19" s="160"/>
      <c r="F19" s="160"/>
      <c r="G19" s="160"/>
      <c r="H19" s="161"/>
      <c r="I19" s="13" t="s">
        <v>164</v>
      </c>
      <c r="J19" s="5" t="s">
        <v>11</v>
      </c>
      <c r="K19" s="5" t="s">
        <v>2</v>
      </c>
      <c r="L19" s="5" t="s">
        <v>11</v>
      </c>
      <c r="M19" s="119">
        <v>0.5</v>
      </c>
      <c r="N19" s="17"/>
      <c r="O19" s="17">
        <f t="shared" si="0"/>
        <v>0.5</v>
      </c>
      <c r="P19" s="8"/>
      <c r="Q19" s="1"/>
    </row>
    <row r="20" spans="1:17" ht="39" hidden="1" customHeight="1" outlineLevel="1" x14ac:dyDescent="0.25">
      <c r="A20" s="41"/>
      <c r="B20" s="34"/>
      <c r="C20" s="43"/>
      <c r="D20" s="207" t="s">
        <v>609</v>
      </c>
      <c r="E20" s="181"/>
      <c r="F20" s="181"/>
      <c r="G20" s="181"/>
      <c r="H20" s="182"/>
      <c r="I20" s="13" t="s">
        <v>163</v>
      </c>
      <c r="J20" s="5" t="s">
        <v>11</v>
      </c>
      <c r="K20" s="5" t="s">
        <v>2</v>
      </c>
      <c r="L20" s="5" t="s">
        <v>26</v>
      </c>
      <c r="M20" s="119">
        <v>500</v>
      </c>
      <c r="N20" s="17"/>
      <c r="O20" s="17">
        <f t="shared" si="0"/>
        <v>500</v>
      </c>
      <c r="P20" s="8"/>
      <c r="Q20" s="1"/>
    </row>
    <row r="21" spans="1:17" ht="33.75" hidden="1" customHeight="1" outlineLevel="1" x14ac:dyDescent="0.25">
      <c r="A21" s="41"/>
      <c r="B21" s="34"/>
      <c r="C21" s="43"/>
      <c r="D21" s="207" t="s">
        <v>496</v>
      </c>
      <c r="E21" s="160"/>
      <c r="F21" s="160"/>
      <c r="G21" s="160"/>
      <c r="H21" s="161"/>
      <c r="I21" s="13" t="s">
        <v>162</v>
      </c>
      <c r="J21" s="5" t="s">
        <v>11</v>
      </c>
      <c r="K21" s="5" t="s">
        <v>2</v>
      </c>
      <c r="L21" s="5" t="s">
        <v>10</v>
      </c>
      <c r="M21" s="119">
        <v>5</v>
      </c>
      <c r="N21" s="17"/>
      <c r="O21" s="17">
        <f t="shared" si="0"/>
        <v>5</v>
      </c>
      <c r="P21" s="8"/>
      <c r="Q21" s="1"/>
    </row>
    <row r="22" spans="1:17" ht="36.75" customHeight="1" collapsed="1" x14ac:dyDescent="0.25">
      <c r="A22" s="41"/>
      <c r="B22" s="1"/>
      <c r="D22" s="216" t="s">
        <v>311</v>
      </c>
      <c r="E22" s="217"/>
      <c r="F22" s="217"/>
      <c r="G22" s="217"/>
      <c r="H22" s="218"/>
      <c r="I22" s="109" t="s">
        <v>161</v>
      </c>
      <c r="J22" s="110" t="s">
        <v>26</v>
      </c>
      <c r="K22" s="110" t="s">
        <v>4</v>
      </c>
      <c r="L22" s="110" t="s">
        <v>4</v>
      </c>
      <c r="M22" s="99">
        <f>SUM(M23+M26)</f>
        <v>11610.400000000001</v>
      </c>
      <c r="N22" s="99">
        <f>SUM(N23+N26)</f>
        <v>0</v>
      </c>
      <c r="O22" s="97">
        <f t="shared" si="0"/>
        <v>11610.400000000001</v>
      </c>
      <c r="P22" s="8"/>
      <c r="Q22" s="1"/>
    </row>
    <row r="23" spans="1:17" ht="33" customHeight="1" x14ac:dyDescent="0.25">
      <c r="A23" s="41"/>
      <c r="B23" s="34"/>
      <c r="C23" s="43"/>
      <c r="D23" s="207" t="s">
        <v>497</v>
      </c>
      <c r="E23" s="160"/>
      <c r="F23" s="160"/>
      <c r="G23" s="160"/>
      <c r="H23" s="161"/>
      <c r="I23" s="13" t="s">
        <v>160</v>
      </c>
      <c r="J23" s="5" t="s">
        <v>26</v>
      </c>
      <c r="K23" s="5">
        <v>1</v>
      </c>
      <c r="L23" s="5"/>
      <c r="M23" s="17">
        <f>SUM(M24+M25)</f>
        <v>3026.2</v>
      </c>
      <c r="N23" s="17">
        <f>SUM(N24+N25)</f>
        <v>0</v>
      </c>
      <c r="O23" s="17">
        <f>SUM(M23:N23)</f>
        <v>3026.2</v>
      </c>
      <c r="P23" s="8"/>
      <c r="Q23" s="1"/>
    </row>
    <row r="24" spans="1:17" ht="33" hidden="1" customHeight="1" outlineLevel="1" x14ac:dyDescent="0.25">
      <c r="A24" s="41"/>
      <c r="B24" s="34"/>
      <c r="C24" s="43"/>
      <c r="D24" s="207" t="s">
        <v>366</v>
      </c>
      <c r="E24" s="160"/>
      <c r="F24" s="160"/>
      <c r="G24" s="160"/>
      <c r="H24" s="161"/>
      <c r="I24" s="13" t="s">
        <v>160</v>
      </c>
      <c r="J24" s="5" t="s">
        <v>26</v>
      </c>
      <c r="K24" s="5">
        <v>1</v>
      </c>
      <c r="L24" s="5" t="s">
        <v>159</v>
      </c>
      <c r="M24" s="119">
        <v>310.5</v>
      </c>
      <c r="N24" s="17"/>
      <c r="O24" s="17">
        <f>SUM(M24:N24)</f>
        <v>310.5</v>
      </c>
      <c r="P24" s="8"/>
      <c r="Q24" s="1"/>
    </row>
    <row r="25" spans="1:17" ht="33" hidden="1" customHeight="1" outlineLevel="1" x14ac:dyDescent="0.25">
      <c r="A25" s="41"/>
      <c r="B25" s="34"/>
      <c r="C25" s="43"/>
      <c r="D25" s="207" t="s">
        <v>355</v>
      </c>
      <c r="E25" s="160"/>
      <c r="F25" s="160"/>
      <c r="G25" s="160"/>
      <c r="H25" s="161"/>
      <c r="I25" s="13" t="s">
        <v>160</v>
      </c>
      <c r="J25" s="5" t="s">
        <v>26</v>
      </c>
      <c r="K25" s="5">
        <v>1</v>
      </c>
      <c r="L25" s="9" t="s">
        <v>356</v>
      </c>
      <c r="M25" s="119">
        <v>2715.7</v>
      </c>
      <c r="N25" s="17"/>
      <c r="O25" s="17">
        <f t="shared" ref="O25:O34" si="1">SUM(M25:N25)</f>
        <v>2715.7</v>
      </c>
      <c r="P25" s="8"/>
      <c r="Q25" s="1"/>
    </row>
    <row r="26" spans="1:17" ht="41.25" customHeight="1" collapsed="1" x14ac:dyDescent="0.25">
      <c r="A26" s="41"/>
      <c r="B26" s="34"/>
      <c r="C26" s="43"/>
      <c r="D26" s="207" t="s">
        <v>498</v>
      </c>
      <c r="E26" s="160"/>
      <c r="F26" s="160"/>
      <c r="G26" s="160"/>
      <c r="H26" s="161"/>
      <c r="I26" s="13" t="s">
        <v>160</v>
      </c>
      <c r="J26" s="5" t="s">
        <v>26</v>
      </c>
      <c r="K26" s="5">
        <v>2</v>
      </c>
      <c r="L26" s="5"/>
      <c r="M26" s="17">
        <f>SUM(M27+M28)</f>
        <v>8584.2000000000007</v>
      </c>
      <c r="N26" s="17">
        <f>SUM(N27+N28)</f>
        <v>0</v>
      </c>
      <c r="O26" s="17">
        <f t="shared" si="1"/>
        <v>8584.2000000000007</v>
      </c>
      <c r="P26" s="8"/>
      <c r="Q26" s="1"/>
    </row>
    <row r="27" spans="1:17" ht="23.25" hidden="1" customHeight="1" outlineLevel="1" x14ac:dyDescent="0.25">
      <c r="A27" s="41"/>
      <c r="B27" s="34"/>
      <c r="C27" s="43"/>
      <c r="D27" s="207" t="s">
        <v>499</v>
      </c>
      <c r="E27" s="160"/>
      <c r="F27" s="160"/>
      <c r="G27" s="160"/>
      <c r="H27" s="161"/>
      <c r="I27" s="13" t="s">
        <v>158</v>
      </c>
      <c r="J27" s="5" t="s">
        <v>26</v>
      </c>
      <c r="K27" s="5">
        <v>2</v>
      </c>
      <c r="L27" s="5" t="s">
        <v>13</v>
      </c>
      <c r="M27" s="119">
        <v>86.2</v>
      </c>
      <c r="N27" s="17"/>
      <c r="O27" s="17">
        <f t="shared" si="1"/>
        <v>86.2</v>
      </c>
      <c r="P27" s="8"/>
      <c r="Q27" s="1"/>
    </row>
    <row r="28" spans="1:17" ht="30.75" hidden="1" customHeight="1" outlineLevel="1" x14ac:dyDescent="0.25">
      <c r="A28" s="41" t="s">
        <v>375</v>
      </c>
      <c r="B28" s="34"/>
      <c r="C28" s="43"/>
      <c r="D28" s="207" t="s">
        <v>500</v>
      </c>
      <c r="E28" s="160"/>
      <c r="F28" s="160"/>
      <c r="G28" s="160"/>
      <c r="H28" s="161"/>
      <c r="I28" s="13" t="s">
        <v>158</v>
      </c>
      <c r="J28" s="5" t="s">
        <v>26</v>
      </c>
      <c r="K28" s="5">
        <v>2</v>
      </c>
      <c r="L28" s="5" t="s">
        <v>11</v>
      </c>
      <c r="M28" s="119">
        <v>8498</v>
      </c>
      <c r="N28" s="17"/>
      <c r="O28" s="17">
        <f>SUM(M28:N28)</f>
        <v>8498</v>
      </c>
      <c r="P28" s="8"/>
      <c r="Q28" s="1"/>
    </row>
    <row r="29" spans="1:17" ht="28.5" customHeight="1" collapsed="1" x14ac:dyDescent="0.25">
      <c r="A29" s="41"/>
      <c r="B29" s="1"/>
      <c r="D29" s="216" t="s">
        <v>298</v>
      </c>
      <c r="E29" s="217"/>
      <c r="F29" s="217"/>
      <c r="G29" s="217"/>
      <c r="H29" s="218"/>
      <c r="I29" s="109" t="s">
        <v>157</v>
      </c>
      <c r="J29" s="110" t="s">
        <v>10</v>
      </c>
      <c r="K29" s="110" t="s">
        <v>4</v>
      </c>
      <c r="L29" s="110" t="s">
        <v>4</v>
      </c>
      <c r="M29" s="99">
        <f>M30+M35+M39</f>
        <v>5315</v>
      </c>
      <c r="N29" s="99">
        <f>N30+N35+N39</f>
        <v>0</v>
      </c>
      <c r="O29" s="97">
        <f t="shared" si="1"/>
        <v>5315</v>
      </c>
      <c r="P29" s="111"/>
      <c r="Q29" s="1"/>
    </row>
    <row r="30" spans="1:17" ht="45" customHeight="1" x14ac:dyDescent="0.25">
      <c r="A30" s="41"/>
      <c r="B30" s="34"/>
      <c r="C30" s="43"/>
      <c r="D30" s="208" t="s">
        <v>501</v>
      </c>
      <c r="E30" s="155"/>
      <c r="F30" s="155"/>
      <c r="G30" s="155"/>
      <c r="H30" s="155"/>
      <c r="I30" s="13" t="s">
        <v>156</v>
      </c>
      <c r="J30" s="5" t="s">
        <v>10</v>
      </c>
      <c r="K30" s="5" t="s">
        <v>23</v>
      </c>
      <c r="L30" s="5" t="s">
        <v>4</v>
      </c>
      <c r="M30" s="17">
        <f>M31+M32+M33+M34</f>
        <v>5000</v>
      </c>
      <c r="N30" s="17">
        <f>N31+N32+N33+N34</f>
        <v>64.599999999999994</v>
      </c>
      <c r="O30" s="17">
        <f>M30+N30</f>
        <v>5064.6000000000004</v>
      </c>
      <c r="P30" s="120" t="s">
        <v>663</v>
      </c>
      <c r="Q30" s="1"/>
    </row>
    <row r="31" spans="1:17" ht="39" hidden="1" customHeight="1" outlineLevel="1" x14ac:dyDescent="0.25">
      <c r="A31" s="41"/>
      <c r="B31" s="34"/>
      <c r="C31" s="43"/>
      <c r="D31" s="207" t="s">
        <v>502</v>
      </c>
      <c r="E31" s="160"/>
      <c r="F31" s="160"/>
      <c r="G31" s="160"/>
      <c r="H31" s="161"/>
      <c r="I31" s="13" t="s">
        <v>156</v>
      </c>
      <c r="J31" s="5" t="s">
        <v>10</v>
      </c>
      <c r="K31" s="5" t="s">
        <v>23</v>
      </c>
      <c r="L31" s="5" t="s">
        <v>13</v>
      </c>
      <c r="M31" s="119">
        <v>4971.2</v>
      </c>
      <c r="N31" s="17">
        <v>64.599999999999994</v>
      </c>
      <c r="O31" s="17">
        <f>SUM(M31:N31)</f>
        <v>5035.8</v>
      </c>
      <c r="P31" s="120" t="s">
        <v>626</v>
      </c>
      <c r="Q31" s="1"/>
    </row>
    <row r="32" spans="1:17" ht="28.5" hidden="1" customHeight="1" outlineLevel="1" x14ac:dyDescent="0.25">
      <c r="A32" s="41"/>
      <c r="B32" s="34"/>
      <c r="C32" s="43"/>
      <c r="D32" s="207" t="s">
        <v>503</v>
      </c>
      <c r="E32" s="160"/>
      <c r="F32" s="160"/>
      <c r="G32" s="160"/>
      <c r="H32" s="161"/>
      <c r="I32" s="13"/>
      <c r="J32" s="5" t="s">
        <v>10</v>
      </c>
      <c r="K32" s="5" t="s">
        <v>23</v>
      </c>
      <c r="L32" s="9" t="s">
        <v>11</v>
      </c>
      <c r="M32" s="17">
        <v>0</v>
      </c>
      <c r="N32" s="17"/>
      <c r="O32" s="17">
        <f t="shared" si="1"/>
        <v>0</v>
      </c>
      <c r="P32" s="8"/>
      <c r="Q32" s="1"/>
    </row>
    <row r="33" spans="1:17" ht="27" hidden="1" customHeight="1" outlineLevel="1" x14ac:dyDescent="0.25">
      <c r="A33" s="41"/>
      <c r="B33" s="34"/>
      <c r="C33" s="43"/>
      <c r="D33" s="207" t="s">
        <v>504</v>
      </c>
      <c r="E33" s="160"/>
      <c r="F33" s="160"/>
      <c r="G33" s="160"/>
      <c r="H33" s="161"/>
      <c r="I33" s="13"/>
      <c r="J33" s="5" t="s">
        <v>10</v>
      </c>
      <c r="K33" s="5" t="s">
        <v>23</v>
      </c>
      <c r="L33" s="9" t="s">
        <v>26</v>
      </c>
      <c r="M33" s="17">
        <v>0</v>
      </c>
      <c r="N33" s="17"/>
      <c r="O33" s="17">
        <f t="shared" si="1"/>
        <v>0</v>
      </c>
      <c r="P33" s="8"/>
      <c r="Q33" s="1"/>
    </row>
    <row r="34" spans="1:17" ht="38.25" hidden="1" customHeight="1" outlineLevel="1" x14ac:dyDescent="0.25">
      <c r="A34" s="41"/>
      <c r="B34" s="34"/>
      <c r="C34" s="43"/>
      <c r="D34" s="207" t="s">
        <v>505</v>
      </c>
      <c r="E34" s="160"/>
      <c r="F34" s="160"/>
      <c r="G34" s="160"/>
      <c r="H34" s="161"/>
      <c r="I34" s="13"/>
      <c r="J34" s="5" t="s">
        <v>10</v>
      </c>
      <c r="K34" s="5" t="s">
        <v>23</v>
      </c>
      <c r="L34" s="9" t="s">
        <v>10</v>
      </c>
      <c r="M34" s="119">
        <v>28.8</v>
      </c>
      <c r="N34" s="17"/>
      <c r="O34" s="17">
        <f t="shared" si="1"/>
        <v>28.8</v>
      </c>
      <c r="P34" s="8"/>
      <c r="Q34" s="1"/>
    </row>
    <row r="35" spans="1:17" ht="35.25" customHeight="1" collapsed="1" x14ac:dyDescent="0.25">
      <c r="A35" s="41"/>
      <c r="B35" s="34"/>
      <c r="C35" s="43"/>
      <c r="D35" s="208" t="s">
        <v>506</v>
      </c>
      <c r="E35" s="155"/>
      <c r="F35" s="155"/>
      <c r="G35" s="155"/>
      <c r="H35" s="155"/>
      <c r="I35" s="13" t="s">
        <v>155</v>
      </c>
      <c r="J35" s="5" t="s">
        <v>10</v>
      </c>
      <c r="K35" s="5" t="s">
        <v>18</v>
      </c>
      <c r="L35" s="5" t="s">
        <v>4</v>
      </c>
      <c r="M35" s="17">
        <f>M37+M38</f>
        <v>15</v>
      </c>
      <c r="N35" s="17">
        <v>20</v>
      </c>
      <c r="O35" s="17">
        <f>SUM(M35:N35)</f>
        <v>35</v>
      </c>
      <c r="P35" s="8" t="s">
        <v>661</v>
      </c>
      <c r="Q35" s="1"/>
    </row>
    <row r="36" spans="1:17" ht="36.75" hidden="1" customHeight="1" outlineLevel="1" x14ac:dyDescent="0.25">
      <c r="A36" s="41"/>
      <c r="B36" s="34"/>
      <c r="C36" s="43"/>
      <c r="D36" s="207" t="s">
        <v>507</v>
      </c>
      <c r="E36" s="160"/>
      <c r="F36" s="160"/>
      <c r="G36" s="160"/>
      <c r="H36" s="161"/>
      <c r="I36" s="13"/>
      <c r="J36" s="5">
        <v>4</v>
      </c>
      <c r="K36" s="5">
        <v>2</v>
      </c>
      <c r="L36" s="9" t="s">
        <v>13</v>
      </c>
      <c r="M36" s="17">
        <v>0</v>
      </c>
      <c r="N36" s="17"/>
      <c r="O36" s="17"/>
      <c r="P36" s="85"/>
      <c r="Q36" s="1"/>
    </row>
    <row r="37" spans="1:17" ht="24.75" hidden="1" customHeight="1" outlineLevel="3" x14ac:dyDescent="0.25">
      <c r="A37" s="41"/>
      <c r="B37" s="34"/>
      <c r="C37" s="43"/>
      <c r="D37" s="207" t="s">
        <v>508</v>
      </c>
      <c r="E37" s="160"/>
      <c r="F37" s="160"/>
      <c r="G37" s="160"/>
      <c r="H37" s="161"/>
      <c r="I37" s="13" t="s">
        <v>154</v>
      </c>
      <c r="J37" s="5" t="s">
        <v>10</v>
      </c>
      <c r="K37" s="5" t="s">
        <v>18</v>
      </c>
      <c r="L37" s="5" t="s">
        <v>11</v>
      </c>
      <c r="M37" s="119">
        <v>5</v>
      </c>
      <c r="N37" s="17"/>
      <c r="O37" s="17">
        <f>SUM(M37:N37)</f>
        <v>5</v>
      </c>
      <c r="P37" s="8"/>
      <c r="Q37" s="1"/>
    </row>
    <row r="38" spans="1:17" ht="42.75" hidden="1" customHeight="1" outlineLevel="3" x14ac:dyDescent="0.25">
      <c r="A38" s="41"/>
      <c r="B38" s="34"/>
      <c r="C38" s="43"/>
      <c r="D38" s="207" t="s">
        <v>509</v>
      </c>
      <c r="E38" s="160"/>
      <c r="F38" s="160"/>
      <c r="G38" s="160"/>
      <c r="H38" s="161"/>
      <c r="I38" s="13" t="s">
        <v>153</v>
      </c>
      <c r="J38" s="5" t="s">
        <v>10</v>
      </c>
      <c r="K38" s="5" t="s">
        <v>18</v>
      </c>
      <c r="L38" s="5" t="s">
        <v>26</v>
      </c>
      <c r="M38" s="119">
        <v>10</v>
      </c>
      <c r="N38" s="17"/>
      <c r="O38" s="17">
        <f>SUM(M38:N38)</f>
        <v>10</v>
      </c>
      <c r="P38" s="8"/>
      <c r="Q38" s="1"/>
    </row>
    <row r="39" spans="1:17" ht="37.5" customHeight="1" collapsed="1" x14ac:dyDescent="0.25">
      <c r="A39" s="41"/>
      <c r="B39" s="34"/>
      <c r="C39" s="43"/>
      <c r="D39" s="208" t="s">
        <v>510</v>
      </c>
      <c r="E39" s="155"/>
      <c r="F39" s="155"/>
      <c r="G39" s="155"/>
      <c r="H39" s="155"/>
      <c r="I39" s="13" t="s">
        <v>152</v>
      </c>
      <c r="J39" s="5" t="s">
        <v>10</v>
      </c>
      <c r="K39" s="5" t="s">
        <v>27</v>
      </c>
      <c r="L39" s="5" t="s">
        <v>4</v>
      </c>
      <c r="M39" s="17">
        <f>M40</f>
        <v>300</v>
      </c>
      <c r="N39" s="17">
        <f>N40</f>
        <v>-84.6</v>
      </c>
      <c r="O39" s="17">
        <f>O40</f>
        <v>215.4</v>
      </c>
      <c r="P39" s="120" t="s">
        <v>662</v>
      </c>
      <c r="Q39" s="1"/>
    </row>
    <row r="40" spans="1:17" ht="75" hidden="1" customHeight="1" outlineLevel="1" x14ac:dyDescent="0.25">
      <c r="A40" s="41"/>
      <c r="B40" s="34"/>
      <c r="C40" s="43"/>
      <c r="D40" s="207" t="s">
        <v>511</v>
      </c>
      <c r="E40" s="160"/>
      <c r="F40" s="160"/>
      <c r="G40" s="160"/>
      <c r="H40" s="161"/>
      <c r="I40" s="13" t="s">
        <v>152</v>
      </c>
      <c r="J40" s="5" t="s">
        <v>10</v>
      </c>
      <c r="K40" s="5" t="s">
        <v>27</v>
      </c>
      <c r="L40" s="5" t="s">
        <v>13</v>
      </c>
      <c r="M40" s="119">
        <v>300</v>
      </c>
      <c r="N40" s="17">
        <f>-64.6-20</f>
        <v>-84.6</v>
      </c>
      <c r="O40" s="17">
        <f>SUM(M40:N40)</f>
        <v>215.4</v>
      </c>
      <c r="P40" s="120" t="s">
        <v>625</v>
      </c>
      <c r="Q40" s="1"/>
    </row>
    <row r="41" spans="1:17" ht="27.75" customHeight="1" collapsed="1" x14ac:dyDescent="0.25">
      <c r="A41" s="41"/>
      <c r="B41" s="1"/>
      <c r="D41" s="216" t="s">
        <v>321</v>
      </c>
      <c r="E41" s="217"/>
      <c r="F41" s="217"/>
      <c r="G41" s="217"/>
      <c r="H41" s="218"/>
      <c r="I41" s="109" t="s">
        <v>151</v>
      </c>
      <c r="J41" s="110" t="s">
        <v>7</v>
      </c>
      <c r="K41" s="110" t="s">
        <v>4</v>
      </c>
      <c r="L41" s="110" t="s">
        <v>4</v>
      </c>
      <c r="M41" s="99">
        <f>M42+M44</f>
        <v>38224.6</v>
      </c>
      <c r="N41" s="99">
        <f>N42+N44</f>
        <v>0</v>
      </c>
      <c r="O41" s="97">
        <f>SUM(M41:N41)</f>
        <v>38224.6</v>
      </c>
      <c r="P41" s="111"/>
      <c r="Q41" s="1"/>
    </row>
    <row r="42" spans="1:17" ht="45.75" customHeight="1" x14ac:dyDescent="0.25">
      <c r="A42" s="41"/>
      <c r="B42" s="34"/>
      <c r="C42" s="43"/>
      <c r="D42" s="208" t="s">
        <v>512</v>
      </c>
      <c r="E42" s="155"/>
      <c r="F42" s="155"/>
      <c r="G42" s="155"/>
      <c r="H42" s="155"/>
      <c r="I42" s="13" t="s">
        <v>150</v>
      </c>
      <c r="J42" s="5" t="s">
        <v>7</v>
      </c>
      <c r="K42" s="5" t="s">
        <v>23</v>
      </c>
      <c r="L42" s="5" t="s">
        <v>4</v>
      </c>
      <c r="M42" s="17">
        <f>M43</f>
        <v>37224.6</v>
      </c>
      <c r="N42" s="17">
        <f>N43</f>
        <v>0</v>
      </c>
      <c r="O42" s="17">
        <f>O43</f>
        <v>37224.6</v>
      </c>
      <c r="P42" s="8"/>
      <c r="Q42" s="1"/>
    </row>
    <row r="43" spans="1:17" ht="47.25" hidden="1" customHeight="1" outlineLevel="1" x14ac:dyDescent="0.25">
      <c r="A43" s="41"/>
      <c r="B43" s="34"/>
      <c r="C43" s="43"/>
      <c r="D43" s="207" t="s">
        <v>513</v>
      </c>
      <c r="E43" s="160"/>
      <c r="F43" s="160"/>
      <c r="G43" s="160"/>
      <c r="H43" s="161"/>
      <c r="I43" s="13" t="s">
        <v>150</v>
      </c>
      <c r="J43" s="5" t="s">
        <v>7</v>
      </c>
      <c r="K43" s="5" t="s">
        <v>23</v>
      </c>
      <c r="L43" s="5" t="s">
        <v>13</v>
      </c>
      <c r="M43" s="119">
        <v>37224.6</v>
      </c>
      <c r="N43" s="17"/>
      <c r="O43" s="17">
        <f>SUM(M43:N43)</f>
        <v>37224.6</v>
      </c>
      <c r="P43" s="8"/>
      <c r="Q43" s="1"/>
    </row>
    <row r="44" spans="1:17" ht="35.25" customHeight="1" collapsed="1" x14ac:dyDescent="0.25">
      <c r="A44" s="41"/>
      <c r="B44" s="34"/>
      <c r="C44" s="43"/>
      <c r="D44" s="208" t="s">
        <v>514</v>
      </c>
      <c r="E44" s="155"/>
      <c r="F44" s="155"/>
      <c r="G44" s="155"/>
      <c r="H44" s="155"/>
      <c r="I44" s="13" t="s">
        <v>149</v>
      </c>
      <c r="J44" s="5" t="s">
        <v>7</v>
      </c>
      <c r="K44" s="5" t="s">
        <v>18</v>
      </c>
      <c r="L44" s="5" t="s">
        <v>4</v>
      </c>
      <c r="M44" s="17">
        <f>M45</f>
        <v>1000</v>
      </c>
      <c r="N44" s="17">
        <f>N45</f>
        <v>0</v>
      </c>
      <c r="O44" s="17">
        <f>O45</f>
        <v>1000</v>
      </c>
      <c r="P44" s="8"/>
      <c r="Q44" s="1"/>
    </row>
    <row r="45" spans="1:17" ht="42.75" hidden="1" customHeight="1" outlineLevel="1" x14ac:dyDescent="0.25">
      <c r="A45" s="41"/>
      <c r="B45" s="34"/>
      <c r="C45" s="43"/>
      <c r="D45" s="207" t="s">
        <v>515</v>
      </c>
      <c r="E45" s="160"/>
      <c r="F45" s="160"/>
      <c r="G45" s="160"/>
      <c r="H45" s="161"/>
      <c r="I45" s="13" t="s">
        <v>149</v>
      </c>
      <c r="J45" s="5" t="s">
        <v>7</v>
      </c>
      <c r="K45" s="5" t="s">
        <v>18</v>
      </c>
      <c r="L45" s="5" t="s">
        <v>13</v>
      </c>
      <c r="M45" s="119">
        <v>1000</v>
      </c>
      <c r="N45" s="17"/>
      <c r="O45" s="17">
        <f>SUM(M45:N45)</f>
        <v>1000</v>
      </c>
      <c r="P45" s="8"/>
      <c r="Q45" s="1"/>
    </row>
    <row r="46" spans="1:17" ht="54" customHeight="1" collapsed="1" x14ac:dyDescent="0.25">
      <c r="A46" s="41"/>
      <c r="B46" s="1"/>
      <c r="D46" s="216" t="s">
        <v>303</v>
      </c>
      <c r="E46" s="219"/>
      <c r="F46" s="219"/>
      <c r="G46" s="219"/>
      <c r="H46" s="220"/>
      <c r="I46" s="112" t="s">
        <v>148</v>
      </c>
      <c r="J46" s="113" t="s">
        <v>5</v>
      </c>
      <c r="K46" s="113" t="s">
        <v>4</v>
      </c>
      <c r="L46" s="113" t="s">
        <v>4</v>
      </c>
      <c r="M46" s="97">
        <f>M47+M53+M57</f>
        <v>510473.5</v>
      </c>
      <c r="N46" s="97">
        <f>N47+N53+N57</f>
        <v>-4009.3</v>
      </c>
      <c r="O46" s="97">
        <f>SUM(M46:N46)</f>
        <v>506464.2</v>
      </c>
      <c r="P46" s="8"/>
      <c r="Q46" s="1"/>
    </row>
    <row r="47" spans="1:17" ht="84" customHeight="1" x14ac:dyDescent="0.25">
      <c r="A47" s="41"/>
      <c r="B47" s="34"/>
      <c r="C47" s="43"/>
      <c r="D47" s="208" t="s">
        <v>516</v>
      </c>
      <c r="E47" s="155"/>
      <c r="F47" s="155"/>
      <c r="G47" s="155"/>
      <c r="H47" s="155"/>
      <c r="I47" s="13" t="s">
        <v>147</v>
      </c>
      <c r="J47" s="5" t="s">
        <v>5</v>
      </c>
      <c r="K47" s="5" t="s">
        <v>23</v>
      </c>
      <c r="L47" s="5" t="s">
        <v>4</v>
      </c>
      <c r="M47" s="17">
        <f>M48+M49+M50+M51+M52</f>
        <v>19369.3</v>
      </c>
      <c r="N47" s="17">
        <f>N48+N49+N50+N51+N52</f>
        <v>1494</v>
      </c>
      <c r="O47" s="17">
        <f>O48+O49+O50+O51+O52</f>
        <v>20863.3</v>
      </c>
      <c r="P47" s="8" t="s">
        <v>679</v>
      </c>
      <c r="Q47" s="1"/>
    </row>
    <row r="48" spans="1:17" ht="46.5" hidden="1" customHeight="1" outlineLevel="1" x14ac:dyDescent="0.25">
      <c r="A48" s="41"/>
      <c r="B48" s="34"/>
      <c r="C48" s="43"/>
      <c r="D48" s="207" t="s">
        <v>517</v>
      </c>
      <c r="E48" s="160"/>
      <c r="F48" s="160"/>
      <c r="G48" s="160"/>
      <c r="H48" s="161"/>
      <c r="I48" s="13" t="s">
        <v>146</v>
      </c>
      <c r="J48" s="5" t="s">
        <v>5</v>
      </c>
      <c r="K48" s="5" t="s">
        <v>23</v>
      </c>
      <c r="L48" s="5" t="s">
        <v>13</v>
      </c>
      <c r="M48" s="119">
        <v>911.8</v>
      </c>
      <c r="N48" s="17"/>
      <c r="O48" s="17">
        <f t="shared" ref="O48:O62" si="2">SUM(M48:N48)</f>
        <v>911.8</v>
      </c>
      <c r="P48" s="8"/>
      <c r="Q48" s="1"/>
    </row>
    <row r="49" spans="1:17" ht="43.5" hidden="1" customHeight="1" outlineLevel="1" x14ac:dyDescent="0.25">
      <c r="A49" s="41"/>
      <c r="B49" s="34"/>
      <c r="C49" s="43"/>
      <c r="D49" s="207" t="s">
        <v>518</v>
      </c>
      <c r="E49" s="160"/>
      <c r="F49" s="160"/>
      <c r="G49" s="160"/>
      <c r="H49" s="161"/>
      <c r="I49" s="13" t="s">
        <v>145</v>
      </c>
      <c r="J49" s="5" t="s">
        <v>5</v>
      </c>
      <c r="K49" s="5" t="s">
        <v>23</v>
      </c>
      <c r="L49" s="5" t="s">
        <v>11</v>
      </c>
      <c r="M49" s="119">
        <v>49.9</v>
      </c>
      <c r="N49" s="17"/>
      <c r="O49" s="17">
        <f t="shared" si="2"/>
        <v>49.9</v>
      </c>
      <c r="P49" s="8"/>
      <c r="Q49" s="1"/>
    </row>
    <row r="50" spans="1:17" ht="64.5" hidden="1" customHeight="1" outlineLevel="1" x14ac:dyDescent="0.25">
      <c r="A50" s="41"/>
      <c r="B50" s="34"/>
      <c r="C50" s="43"/>
      <c r="D50" s="207" t="s">
        <v>519</v>
      </c>
      <c r="E50" s="160"/>
      <c r="F50" s="160"/>
      <c r="G50" s="160"/>
      <c r="H50" s="161"/>
      <c r="I50" s="13" t="s">
        <v>144</v>
      </c>
      <c r="J50" s="5" t="s">
        <v>5</v>
      </c>
      <c r="K50" s="5" t="s">
        <v>23</v>
      </c>
      <c r="L50" s="5" t="s">
        <v>26</v>
      </c>
      <c r="M50" s="119">
        <v>1250</v>
      </c>
      <c r="N50" s="17">
        <v>1001.8</v>
      </c>
      <c r="O50" s="17">
        <f t="shared" si="2"/>
        <v>2251.8000000000002</v>
      </c>
      <c r="P50" s="8" t="s">
        <v>645</v>
      </c>
      <c r="Q50" s="1"/>
    </row>
    <row r="51" spans="1:17" ht="51.75" hidden="1" customHeight="1" outlineLevel="1" x14ac:dyDescent="0.25">
      <c r="A51" s="41"/>
      <c r="B51" s="34"/>
      <c r="C51" s="43"/>
      <c r="D51" s="207" t="s">
        <v>520</v>
      </c>
      <c r="E51" s="160"/>
      <c r="F51" s="160"/>
      <c r="G51" s="160"/>
      <c r="H51" s="161"/>
      <c r="I51" s="13"/>
      <c r="J51" s="5" t="s">
        <v>5</v>
      </c>
      <c r="K51" s="5" t="s">
        <v>23</v>
      </c>
      <c r="L51" s="9" t="s">
        <v>10</v>
      </c>
      <c r="M51" s="119">
        <v>500</v>
      </c>
      <c r="N51" s="17"/>
      <c r="O51" s="17">
        <f t="shared" si="2"/>
        <v>500</v>
      </c>
      <c r="P51" s="8"/>
      <c r="Q51" s="1"/>
    </row>
    <row r="52" spans="1:17" ht="53.25" hidden="1" customHeight="1" outlineLevel="1" x14ac:dyDescent="0.25">
      <c r="A52" s="41"/>
      <c r="B52" s="34"/>
      <c r="C52" s="43"/>
      <c r="D52" s="207" t="s">
        <v>199</v>
      </c>
      <c r="E52" s="160"/>
      <c r="F52" s="160"/>
      <c r="G52" s="160"/>
      <c r="H52" s="161"/>
      <c r="I52" s="13" t="s">
        <v>142</v>
      </c>
      <c r="J52" s="5" t="s">
        <v>5</v>
      </c>
      <c r="K52" s="5" t="s">
        <v>23</v>
      </c>
      <c r="L52" s="5" t="s">
        <v>143</v>
      </c>
      <c r="M52" s="119">
        <v>16657.599999999999</v>
      </c>
      <c r="N52" s="17">
        <v>492.2</v>
      </c>
      <c r="O52" s="17">
        <f t="shared" si="2"/>
        <v>17149.8</v>
      </c>
      <c r="P52" s="8" t="s">
        <v>649</v>
      </c>
      <c r="Q52" s="1"/>
    </row>
    <row r="53" spans="1:17" ht="39" customHeight="1" collapsed="1" x14ac:dyDescent="0.25">
      <c r="A53" s="41"/>
      <c r="B53" s="34"/>
      <c r="C53" s="43"/>
      <c r="D53" s="208" t="s">
        <v>521</v>
      </c>
      <c r="E53" s="155"/>
      <c r="F53" s="155"/>
      <c r="G53" s="155"/>
      <c r="H53" s="155"/>
      <c r="I53" s="13" t="s">
        <v>141</v>
      </c>
      <c r="J53" s="5" t="s">
        <v>5</v>
      </c>
      <c r="K53" s="5" t="s">
        <v>18</v>
      </c>
      <c r="L53" s="5" t="s">
        <v>4</v>
      </c>
      <c r="M53" s="17">
        <f>M54+M55+M56</f>
        <v>3691.6</v>
      </c>
      <c r="N53" s="17">
        <f>N54+N55+N56</f>
        <v>0</v>
      </c>
      <c r="O53" s="17">
        <f>SUM(M53:N53)</f>
        <v>3691.6</v>
      </c>
      <c r="P53" s="8"/>
      <c r="Q53" s="1"/>
    </row>
    <row r="54" spans="1:17" ht="52.5" hidden="1" customHeight="1" outlineLevel="1" x14ac:dyDescent="0.25">
      <c r="A54" s="41"/>
      <c r="B54" s="34"/>
      <c r="C54" s="43"/>
      <c r="D54" s="207" t="s">
        <v>522</v>
      </c>
      <c r="E54" s="160"/>
      <c r="F54" s="160"/>
      <c r="G54" s="160"/>
      <c r="H54" s="161"/>
      <c r="I54" s="13" t="s">
        <v>140</v>
      </c>
      <c r="J54" s="5" t="s">
        <v>5</v>
      </c>
      <c r="K54" s="5" t="s">
        <v>18</v>
      </c>
      <c r="L54" s="5" t="s">
        <v>13</v>
      </c>
      <c r="M54" s="119">
        <v>50</v>
      </c>
      <c r="N54" s="17"/>
      <c r="O54" s="17">
        <f t="shared" si="2"/>
        <v>50</v>
      </c>
      <c r="P54" s="8"/>
      <c r="Q54" s="1"/>
    </row>
    <row r="55" spans="1:17" ht="36" hidden="1" customHeight="1" outlineLevel="1" x14ac:dyDescent="0.25">
      <c r="A55" s="41"/>
      <c r="B55" s="34"/>
      <c r="C55" s="43"/>
      <c r="D55" s="207" t="s">
        <v>523</v>
      </c>
      <c r="E55" s="160"/>
      <c r="F55" s="160"/>
      <c r="G55" s="160"/>
      <c r="H55" s="161"/>
      <c r="I55" s="13" t="s">
        <v>139</v>
      </c>
      <c r="J55" s="5" t="s">
        <v>5</v>
      </c>
      <c r="K55" s="5" t="s">
        <v>18</v>
      </c>
      <c r="L55" s="5" t="s">
        <v>11</v>
      </c>
      <c r="M55" s="119">
        <v>641.6</v>
      </c>
      <c r="N55" s="17"/>
      <c r="O55" s="17">
        <f t="shared" si="2"/>
        <v>641.6</v>
      </c>
      <c r="P55" s="8"/>
      <c r="Q55" s="1"/>
    </row>
    <row r="56" spans="1:17" ht="45" hidden="1" customHeight="1" outlineLevel="1" x14ac:dyDescent="0.25">
      <c r="A56" s="41"/>
      <c r="B56" s="34"/>
      <c r="C56" s="43"/>
      <c r="D56" s="207" t="s">
        <v>524</v>
      </c>
      <c r="E56" s="160"/>
      <c r="F56" s="160"/>
      <c r="G56" s="160"/>
      <c r="H56" s="161"/>
      <c r="I56" s="13" t="s">
        <v>138</v>
      </c>
      <c r="J56" s="5" t="s">
        <v>5</v>
      </c>
      <c r="K56" s="5" t="s">
        <v>18</v>
      </c>
      <c r="L56" s="5" t="s">
        <v>26</v>
      </c>
      <c r="M56" s="119">
        <v>3000</v>
      </c>
      <c r="N56" s="17"/>
      <c r="O56" s="16">
        <f t="shared" si="2"/>
        <v>3000</v>
      </c>
      <c r="P56" s="8"/>
      <c r="Q56" s="1"/>
    </row>
    <row r="57" spans="1:17" ht="69.75" customHeight="1" collapsed="1" x14ac:dyDescent="0.25">
      <c r="A57" s="41"/>
      <c r="B57" s="34"/>
      <c r="C57" s="43"/>
      <c r="D57" s="208" t="s">
        <v>525</v>
      </c>
      <c r="E57" s="155"/>
      <c r="F57" s="155"/>
      <c r="G57" s="155"/>
      <c r="H57" s="155"/>
      <c r="I57" s="13" t="s">
        <v>137</v>
      </c>
      <c r="J57" s="5" t="s">
        <v>5</v>
      </c>
      <c r="K57" s="5">
        <v>3</v>
      </c>
      <c r="L57" s="5" t="s">
        <v>4</v>
      </c>
      <c r="M57" s="17">
        <f>M58</f>
        <v>487412.6</v>
      </c>
      <c r="N57" s="17">
        <f>N58</f>
        <v>-5503.3</v>
      </c>
      <c r="O57" s="17">
        <f>O58</f>
        <v>481909.3</v>
      </c>
      <c r="P57" s="8" t="s">
        <v>664</v>
      </c>
      <c r="Q57" s="1"/>
    </row>
    <row r="58" spans="1:17" ht="117.75" hidden="1" customHeight="1" outlineLevel="1" x14ac:dyDescent="0.25">
      <c r="A58" s="41"/>
      <c r="B58" s="34"/>
      <c r="C58" s="43"/>
      <c r="D58" s="207" t="s">
        <v>526</v>
      </c>
      <c r="E58" s="160"/>
      <c r="F58" s="160"/>
      <c r="G58" s="160"/>
      <c r="H58" s="161"/>
      <c r="I58" s="13" t="s">
        <v>137</v>
      </c>
      <c r="J58" s="5" t="s">
        <v>5</v>
      </c>
      <c r="K58" s="5" t="s">
        <v>27</v>
      </c>
      <c r="L58" s="5" t="s">
        <v>13</v>
      </c>
      <c r="M58" s="119">
        <v>487412.6</v>
      </c>
      <c r="N58" s="17">
        <f>-492.2-5503.3+492.2</f>
        <v>-5503.3</v>
      </c>
      <c r="O58" s="17">
        <f t="shared" si="2"/>
        <v>481909.3</v>
      </c>
      <c r="P58" s="8" t="s">
        <v>658</v>
      </c>
      <c r="Q58" s="1"/>
    </row>
    <row r="59" spans="1:17" ht="40.5" customHeight="1" collapsed="1" x14ac:dyDescent="0.25">
      <c r="A59" s="41"/>
      <c r="B59" s="1"/>
      <c r="D59" s="216" t="s">
        <v>322</v>
      </c>
      <c r="E59" s="217"/>
      <c r="F59" s="217"/>
      <c r="G59" s="217"/>
      <c r="H59" s="218"/>
      <c r="I59" s="109" t="s">
        <v>136</v>
      </c>
      <c r="J59" s="110" t="s">
        <v>1</v>
      </c>
      <c r="K59" s="110" t="s">
        <v>4</v>
      </c>
      <c r="L59" s="110" t="s">
        <v>4</v>
      </c>
      <c r="M59" s="99">
        <f>M60</f>
        <v>150</v>
      </c>
      <c r="N59" s="99">
        <f>N60</f>
        <v>0</v>
      </c>
      <c r="O59" s="97">
        <f>SUM(M59:N59)</f>
        <v>150</v>
      </c>
      <c r="P59" s="8"/>
      <c r="Q59" s="1"/>
    </row>
    <row r="60" spans="1:17" ht="36" hidden="1" customHeight="1" outlineLevel="1" x14ac:dyDescent="0.25">
      <c r="A60" s="41"/>
      <c r="B60" s="34"/>
      <c r="C60" s="43"/>
      <c r="D60" s="207" t="s">
        <v>527</v>
      </c>
      <c r="E60" s="160"/>
      <c r="F60" s="160"/>
      <c r="G60" s="160"/>
      <c r="H60" s="161"/>
      <c r="I60" s="13" t="s">
        <v>136</v>
      </c>
      <c r="J60" s="5" t="s">
        <v>1</v>
      </c>
      <c r="K60" s="5" t="s">
        <v>2</v>
      </c>
      <c r="L60" s="5" t="s">
        <v>13</v>
      </c>
      <c r="M60" s="119">
        <v>150</v>
      </c>
      <c r="N60" s="17"/>
      <c r="O60" s="17">
        <f t="shared" si="2"/>
        <v>150</v>
      </c>
      <c r="P60" s="8"/>
      <c r="Q60" s="1"/>
    </row>
    <row r="61" spans="1:17" ht="53.25" customHeight="1" collapsed="1" x14ac:dyDescent="0.25">
      <c r="A61" s="41"/>
      <c r="B61" s="1"/>
      <c r="D61" s="216" t="s">
        <v>299</v>
      </c>
      <c r="E61" s="217"/>
      <c r="F61" s="217"/>
      <c r="G61" s="217"/>
      <c r="H61" s="218"/>
      <c r="I61" s="109" t="s">
        <v>135</v>
      </c>
      <c r="J61" s="110" t="s">
        <v>134</v>
      </c>
      <c r="K61" s="110" t="s">
        <v>4</v>
      </c>
      <c r="L61" s="110" t="s">
        <v>4</v>
      </c>
      <c r="M61" s="99">
        <f>M62</f>
        <v>27149.5</v>
      </c>
      <c r="N61" s="99">
        <f>N62</f>
        <v>-175.4</v>
      </c>
      <c r="O61" s="97">
        <f>SUM(M61:N61)</f>
        <v>26974.1</v>
      </c>
      <c r="P61" s="74" t="s">
        <v>665</v>
      </c>
      <c r="Q61" s="1"/>
    </row>
    <row r="62" spans="1:17" ht="48.75" hidden="1" customHeight="1" outlineLevel="1" x14ac:dyDescent="0.25">
      <c r="A62" s="41"/>
      <c r="B62" s="34"/>
      <c r="C62" s="43"/>
      <c r="D62" s="207" t="s">
        <v>528</v>
      </c>
      <c r="E62" s="160"/>
      <c r="F62" s="160"/>
      <c r="G62" s="160"/>
      <c r="H62" s="161"/>
      <c r="I62" s="13" t="s">
        <v>135</v>
      </c>
      <c r="J62" s="5" t="s">
        <v>134</v>
      </c>
      <c r="K62" s="5" t="s">
        <v>2</v>
      </c>
      <c r="L62" s="5" t="s">
        <v>13</v>
      </c>
      <c r="M62" s="119">
        <v>27149.5</v>
      </c>
      <c r="N62" s="17">
        <v>-175.4</v>
      </c>
      <c r="O62" s="17">
        <f t="shared" si="2"/>
        <v>26974.1</v>
      </c>
      <c r="P62" s="74"/>
      <c r="Q62" s="1"/>
    </row>
    <row r="63" spans="1:17" ht="42" customHeight="1" collapsed="1" x14ac:dyDescent="0.25">
      <c r="A63" s="41"/>
      <c r="B63" s="1"/>
      <c r="D63" s="216" t="s">
        <v>361</v>
      </c>
      <c r="E63" s="219"/>
      <c r="F63" s="219"/>
      <c r="G63" s="219"/>
      <c r="H63" s="220"/>
      <c r="I63" s="112" t="s">
        <v>133</v>
      </c>
      <c r="J63" s="113" t="s">
        <v>124</v>
      </c>
      <c r="K63" s="113" t="s">
        <v>4</v>
      </c>
      <c r="L63" s="113" t="s">
        <v>4</v>
      </c>
      <c r="M63" s="97">
        <f>M64+M69+M74</f>
        <v>296165.2</v>
      </c>
      <c r="N63" s="97">
        <f>N64+N69+N74</f>
        <v>-3273.5</v>
      </c>
      <c r="O63" s="97">
        <f>O64+O69+O74</f>
        <v>292891.7</v>
      </c>
      <c r="P63" s="8"/>
      <c r="Q63" s="1"/>
    </row>
    <row r="64" spans="1:17" ht="38.25" customHeight="1" x14ac:dyDescent="0.25">
      <c r="A64" s="41"/>
      <c r="B64" s="34"/>
      <c r="C64" s="43"/>
      <c r="D64" s="208" t="s">
        <v>529</v>
      </c>
      <c r="E64" s="155"/>
      <c r="F64" s="155"/>
      <c r="G64" s="155"/>
      <c r="H64" s="155"/>
      <c r="I64" s="13" t="s">
        <v>132</v>
      </c>
      <c r="J64" s="5" t="s">
        <v>124</v>
      </c>
      <c r="K64" s="5">
        <v>1</v>
      </c>
      <c r="L64" s="5" t="s">
        <v>4</v>
      </c>
      <c r="M64" s="17">
        <f>M65+M66+M67+M68</f>
        <v>278577.40000000002</v>
      </c>
      <c r="N64" s="17">
        <f>N65+N66+N67+N68</f>
        <v>-3273.5</v>
      </c>
      <c r="O64" s="17">
        <f>SUM(M64:N64)</f>
        <v>275303.90000000002</v>
      </c>
      <c r="P64" s="8" t="s">
        <v>666</v>
      </c>
      <c r="Q64" s="1"/>
    </row>
    <row r="65" spans="1:20" ht="38.25" hidden="1" customHeight="1" outlineLevel="1" x14ac:dyDescent="0.25">
      <c r="A65" s="41"/>
      <c r="B65" s="34"/>
      <c r="C65" s="43"/>
      <c r="D65" s="207" t="s">
        <v>530</v>
      </c>
      <c r="E65" s="160"/>
      <c r="F65" s="160"/>
      <c r="G65" s="160"/>
      <c r="H65" s="161"/>
      <c r="I65" s="13" t="s">
        <v>131</v>
      </c>
      <c r="J65" s="5" t="s">
        <v>124</v>
      </c>
      <c r="K65" s="5" t="s">
        <v>23</v>
      </c>
      <c r="L65" s="5" t="s">
        <v>13</v>
      </c>
      <c r="M65" s="119">
        <v>50</v>
      </c>
      <c r="N65" s="17"/>
      <c r="O65" s="17">
        <f t="shared" ref="O65:O81" si="3">SUM(M65:N65)</f>
        <v>50</v>
      </c>
      <c r="P65" s="8"/>
      <c r="Q65" s="1"/>
    </row>
    <row r="66" spans="1:20" ht="36" hidden="1" customHeight="1" outlineLevel="1" x14ac:dyDescent="0.25">
      <c r="A66" s="41"/>
      <c r="B66" s="34"/>
      <c r="C66" s="43"/>
      <c r="D66" s="207" t="s">
        <v>531</v>
      </c>
      <c r="E66" s="160"/>
      <c r="F66" s="160"/>
      <c r="G66" s="160"/>
      <c r="H66" s="161"/>
      <c r="I66" s="13" t="s">
        <v>130</v>
      </c>
      <c r="J66" s="5" t="s">
        <v>124</v>
      </c>
      <c r="K66" s="5" t="s">
        <v>23</v>
      </c>
      <c r="L66" s="5" t="s">
        <v>11</v>
      </c>
      <c r="M66" s="119">
        <v>100</v>
      </c>
      <c r="N66" s="17"/>
      <c r="O66" s="17">
        <f t="shared" si="3"/>
        <v>100</v>
      </c>
      <c r="P66" s="8"/>
      <c r="Q66" s="1"/>
    </row>
    <row r="67" spans="1:20" ht="57.75" hidden="1" customHeight="1" outlineLevel="1" x14ac:dyDescent="0.25">
      <c r="A67" s="41"/>
      <c r="B67" s="34"/>
      <c r="C67" s="43"/>
      <c r="D67" s="207" t="s">
        <v>532</v>
      </c>
      <c r="E67" s="160"/>
      <c r="F67" s="160"/>
      <c r="G67" s="160"/>
      <c r="H67" s="161"/>
      <c r="I67" s="13" t="s">
        <v>129</v>
      </c>
      <c r="J67" s="5" t="s">
        <v>124</v>
      </c>
      <c r="K67" s="5" t="s">
        <v>23</v>
      </c>
      <c r="L67" s="5" t="s">
        <v>10</v>
      </c>
      <c r="M67" s="119">
        <v>400</v>
      </c>
      <c r="N67" s="17"/>
      <c r="O67" s="17">
        <f t="shared" si="3"/>
        <v>400</v>
      </c>
      <c r="P67" s="8"/>
      <c r="Q67" s="1"/>
    </row>
    <row r="68" spans="1:20" ht="48" hidden="1" customHeight="1" outlineLevel="1" x14ac:dyDescent="0.25">
      <c r="A68" s="41"/>
      <c r="B68" s="34"/>
      <c r="C68" s="43"/>
      <c r="D68" s="207" t="s">
        <v>533</v>
      </c>
      <c r="E68" s="160"/>
      <c r="F68" s="160"/>
      <c r="G68" s="160"/>
      <c r="H68" s="161"/>
      <c r="I68" s="13" t="s">
        <v>128</v>
      </c>
      <c r="J68" s="5" t="s">
        <v>124</v>
      </c>
      <c r="K68" s="5" t="s">
        <v>23</v>
      </c>
      <c r="L68" s="5" t="s">
        <v>7</v>
      </c>
      <c r="M68" s="119">
        <v>278027.40000000002</v>
      </c>
      <c r="N68" s="17">
        <f>-2473.5-800</f>
        <v>-3273.5</v>
      </c>
      <c r="O68" s="17">
        <f t="shared" si="3"/>
        <v>274753.90000000002</v>
      </c>
      <c r="P68" s="8" t="s">
        <v>646</v>
      </c>
      <c r="Q68" s="1"/>
    </row>
    <row r="69" spans="1:20" ht="36.75" customHeight="1" collapsed="1" x14ac:dyDescent="0.25">
      <c r="A69" s="41"/>
      <c r="B69" s="34"/>
      <c r="C69" s="43"/>
      <c r="D69" s="208" t="s">
        <v>534</v>
      </c>
      <c r="E69" s="155"/>
      <c r="F69" s="155"/>
      <c r="G69" s="155"/>
      <c r="H69" s="155"/>
      <c r="I69" s="13" t="s">
        <v>127</v>
      </c>
      <c r="J69" s="5" t="s">
        <v>124</v>
      </c>
      <c r="K69" s="5" t="s">
        <v>18</v>
      </c>
      <c r="L69" s="5" t="s">
        <v>4</v>
      </c>
      <c r="M69" s="17">
        <f>M70+M71+M72+M73</f>
        <v>17587.800000000003</v>
      </c>
      <c r="N69" s="17">
        <f>N70+N71+N72+N73</f>
        <v>0</v>
      </c>
      <c r="O69" s="17">
        <f>O70+O71+O72+O73</f>
        <v>17587.800000000003</v>
      </c>
      <c r="P69" s="8"/>
      <c r="Q69" s="1"/>
    </row>
    <row r="70" spans="1:20" ht="50.25" hidden="1" customHeight="1" outlineLevel="1" x14ac:dyDescent="0.25">
      <c r="A70" s="41"/>
      <c r="B70" s="34"/>
      <c r="C70" s="43"/>
      <c r="D70" s="207" t="s">
        <v>535</v>
      </c>
      <c r="E70" s="160"/>
      <c r="F70" s="160"/>
      <c r="G70" s="160"/>
      <c r="H70" s="161"/>
      <c r="I70" s="13" t="s">
        <v>126</v>
      </c>
      <c r="J70" s="5" t="s">
        <v>124</v>
      </c>
      <c r="K70" s="5" t="s">
        <v>18</v>
      </c>
      <c r="L70" s="5" t="s">
        <v>13</v>
      </c>
      <c r="M70" s="119">
        <v>9269.2000000000007</v>
      </c>
      <c r="N70" s="17"/>
      <c r="O70" s="17">
        <f t="shared" si="3"/>
        <v>9269.2000000000007</v>
      </c>
      <c r="P70" s="8"/>
      <c r="Q70" s="1"/>
    </row>
    <row r="71" spans="1:20" ht="78.75" hidden="1" customHeight="1" outlineLevel="1" x14ac:dyDescent="0.25">
      <c r="A71" s="41"/>
      <c r="B71" s="34"/>
      <c r="C71" s="43"/>
      <c r="D71" s="207" t="s">
        <v>536</v>
      </c>
      <c r="E71" s="160"/>
      <c r="F71" s="160"/>
      <c r="G71" s="160"/>
      <c r="H71" s="161"/>
      <c r="I71" s="13" t="s">
        <v>125</v>
      </c>
      <c r="J71" s="5" t="s">
        <v>124</v>
      </c>
      <c r="K71" s="5" t="s">
        <v>18</v>
      </c>
      <c r="L71" s="5" t="s">
        <v>26</v>
      </c>
      <c r="M71" s="119">
        <v>7167.7</v>
      </c>
      <c r="N71" s="17"/>
      <c r="O71" s="17">
        <f t="shared" si="3"/>
        <v>7167.7</v>
      </c>
      <c r="P71" s="8"/>
      <c r="Q71" s="1"/>
    </row>
    <row r="72" spans="1:20" ht="46.5" hidden="1" customHeight="1" outlineLevel="1" x14ac:dyDescent="0.25">
      <c r="A72" s="41"/>
      <c r="B72" s="1"/>
      <c r="C72" s="43"/>
      <c r="D72" s="207" t="s">
        <v>537</v>
      </c>
      <c r="E72" s="160"/>
      <c r="F72" s="160"/>
      <c r="G72" s="160"/>
      <c r="H72" s="161"/>
      <c r="I72" s="13">
        <v>920400000</v>
      </c>
      <c r="J72" s="5" t="s">
        <v>124</v>
      </c>
      <c r="K72" s="5" t="s">
        <v>18</v>
      </c>
      <c r="L72" s="9" t="s">
        <v>10</v>
      </c>
      <c r="M72" s="17">
        <v>0</v>
      </c>
      <c r="N72" s="17"/>
      <c r="O72" s="17">
        <f>SUM(M72:N72)</f>
        <v>0</v>
      </c>
      <c r="P72" s="8"/>
      <c r="Q72" s="1"/>
    </row>
    <row r="73" spans="1:20" ht="47.25" hidden="1" customHeight="1" outlineLevel="1" x14ac:dyDescent="0.25">
      <c r="A73" s="41"/>
      <c r="B73" s="1"/>
      <c r="C73" s="43"/>
      <c r="D73" s="207" t="s">
        <v>538</v>
      </c>
      <c r="E73" s="160"/>
      <c r="F73" s="160"/>
      <c r="G73" s="160"/>
      <c r="H73" s="161"/>
      <c r="I73" s="13">
        <v>920400000</v>
      </c>
      <c r="J73" s="5" t="s">
        <v>124</v>
      </c>
      <c r="K73" s="5" t="s">
        <v>18</v>
      </c>
      <c r="L73" s="9" t="s">
        <v>7</v>
      </c>
      <c r="M73" s="119">
        <v>1150.9000000000001</v>
      </c>
      <c r="N73" s="17"/>
      <c r="O73" s="17">
        <f t="shared" si="3"/>
        <v>1150.9000000000001</v>
      </c>
      <c r="P73" s="8"/>
      <c r="Q73" s="1"/>
    </row>
    <row r="74" spans="1:20" ht="30.75" customHeight="1" collapsed="1" x14ac:dyDescent="0.25">
      <c r="A74" s="41"/>
      <c r="B74" s="1"/>
      <c r="C74" s="43"/>
      <c r="D74" s="207" t="s">
        <v>539</v>
      </c>
      <c r="E74" s="160"/>
      <c r="F74" s="160"/>
      <c r="G74" s="160"/>
      <c r="H74" s="160"/>
      <c r="I74" s="161"/>
      <c r="J74" s="5" t="s">
        <v>124</v>
      </c>
      <c r="K74" s="5">
        <v>3</v>
      </c>
      <c r="L74" s="9"/>
      <c r="M74" s="17">
        <f>SUM(M75+M76)</f>
        <v>0</v>
      </c>
      <c r="N74" s="17">
        <f>SUM(N75+N76)</f>
        <v>0</v>
      </c>
      <c r="O74" s="17">
        <f>SUM(O75+O76)</f>
        <v>0</v>
      </c>
      <c r="P74" s="8"/>
      <c r="Q74" s="1"/>
    </row>
    <row r="75" spans="1:20" ht="47.25" hidden="1" customHeight="1" outlineLevel="1" x14ac:dyDescent="0.25">
      <c r="A75" s="41"/>
      <c r="B75" s="1"/>
      <c r="C75" s="43"/>
      <c r="D75" s="207" t="s">
        <v>540</v>
      </c>
      <c r="E75" s="160"/>
      <c r="F75" s="160"/>
      <c r="G75" s="160"/>
      <c r="H75" s="161"/>
      <c r="I75" s="14"/>
      <c r="J75" s="6" t="s">
        <v>124</v>
      </c>
      <c r="K75" s="6">
        <v>3</v>
      </c>
      <c r="L75" s="6" t="s">
        <v>13</v>
      </c>
      <c r="M75" s="16">
        <v>0</v>
      </c>
      <c r="N75" s="16"/>
      <c r="O75" s="17">
        <f t="shared" si="3"/>
        <v>0</v>
      </c>
      <c r="P75" s="8"/>
      <c r="Q75" s="1"/>
    </row>
    <row r="76" spans="1:20" ht="47.25" hidden="1" customHeight="1" outlineLevel="1" x14ac:dyDescent="0.25">
      <c r="A76" s="41"/>
      <c r="B76" s="1"/>
      <c r="C76" s="43"/>
      <c r="D76" s="207" t="s">
        <v>541</v>
      </c>
      <c r="E76" s="160"/>
      <c r="F76" s="160"/>
      <c r="G76" s="160"/>
      <c r="H76" s="161"/>
      <c r="I76" s="14"/>
      <c r="J76" s="6">
        <v>9</v>
      </c>
      <c r="K76" s="6">
        <v>3</v>
      </c>
      <c r="L76" s="80" t="s">
        <v>13</v>
      </c>
      <c r="M76" s="16">
        <v>0</v>
      </c>
      <c r="N76" s="16"/>
      <c r="O76" s="17">
        <f t="shared" si="3"/>
        <v>0</v>
      </c>
      <c r="P76" s="8"/>
      <c r="Q76" s="1"/>
    </row>
    <row r="77" spans="1:20" ht="192.75" customHeight="1" collapsed="1" x14ac:dyDescent="0.25">
      <c r="A77" s="41"/>
      <c r="B77" s="1"/>
      <c r="D77" s="216" t="s">
        <v>312</v>
      </c>
      <c r="E77" s="217"/>
      <c r="F77" s="217"/>
      <c r="G77" s="217"/>
      <c r="H77" s="218"/>
      <c r="I77" s="109" t="s">
        <v>123</v>
      </c>
      <c r="J77" s="110" t="s">
        <v>120</v>
      </c>
      <c r="K77" s="110" t="s">
        <v>4</v>
      </c>
      <c r="L77" s="110" t="s">
        <v>4</v>
      </c>
      <c r="M77" s="99">
        <f>M78+M79+M80+M81</f>
        <v>9850</v>
      </c>
      <c r="N77" s="99">
        <f>N78+N79+N80+N81</f>
        <v>7235</v>
      </c>
      <c r="O77" s="97">
        <f>SUM(M77:N77)</f>
        <v>17085</v>
      </c>
      <c r="P77" s="8" t="s">
        <v>652</v>
      </c>
      <c r="Q77" s="1"/>
    </row>
    <row r="78" spans="1:20" ht="34.5" hidden="1" customHeight="1" outlineLevel="1" x14ac:dyDescent="0.25">
      <c r="A78" s="41"/>
      <c r="B78" s="34"/>
      <c r="C78" s="43"/>
      <c r="D78" s="207" t="s">
        <v>542</v>
      </c>
      <c r="E78" s="160"/>
      <c r="F78" s="160"/>
      <c r="G78" s="160"/>
      <c r="H78" s="161"/>
      <c r="I78" s="13" t="s">
        <v>122</v>
      </c>
      <c r="J78" s="5" t="s">
        <v>120</v>
      </c>
      <c r="K78" s="5" t="s">
        <v>2</v>
      </c>
      <c r="L78" s="5" t="s">
        <v>13</v>
      </c>
      <c r="M78" s="17">
        <v>0</v>
      </c>
      <c r="N78" s="17"/>
      <c r="O78" s="17">
        <f t="shared" si="3"/>
        <v>0</v>
      </c>
      <c r="P78" s="8"/>
      <c r="Q78" s="1"/>
    </row>
    <row r="79" spans="1:20" ht="62.25" hidden="1" customHeight="1" outlineLevel="1" x14ac:dyDescent="0.3">
      <c r="A79" s="41"/>
      <c r="B79" s="34"/>
      <c r="C79" s="43"/>
      <c r="D79" s="207" t="s">
        <v>543</v>
      </c>
      <c r="E79" s="160"/>
      <c r="F79" s="160"/>
      <c r="G79" s="160"/>
      <c r="H79" s="161"/>
      <c r="I79" s="13" t="s">
        <v>121</v>
      </c>
      <c r="J79" s="5">
        <v>10</v>
      </c>
      <c r="K79" s="5" t="s">
        <v>2</v>
      </c>
      <c r="L79" s="5" t="s">
        <v>11</v>
      </c>
      <c r="M79" s="119">
        <v>9850</v>
      </c>
      <c r="N79" s="17">
        <v>-1664.6</v>
      </c>
      <c r="O79" s="17">
        <f t="shared" si="3"/>
        <v>8185.4</v>
      </c>
      <c r="P79" s="8" t="s">
        <v>632</v>
      </c>
      <c r="Q79" s="1"/>
      <c r="T79" s="132"/>
    </row>
    <row r="80" spans="1:20" ht="45.75" hidden="1" customHeight="1" outlineLevel="1" x14ac:dyDescent="0.25">
      <c r="A80" s="41"/>
      <c r="B80" s="34"/>
      <c r="C80" s="43"/>
      <c r="D80" s="207" t="s">
        <v>544</v>
      </c>
      <c r="E80" s="160"/>
      <c r="F80" s="160"/>
      <c r="G80" s="160"/>
      <c r="H80" s="161"/>
      <c r="I80" s="13" t="s">
        <v>119</v>
      </c>
      <c r="J80" s="5" t="s">
        <v>120</v>
      </c>
      <c r="K80" s="5" t="s">
        <v>2</v>
      </c>
      <c r="L80" s="5" t="s">
        <v>26</v>
      </c>
      <c r="M80" s="17">
        <v>0</v>
      </c>
      <c r="N80" s="17">
        <v>215.5</v>
      </c>
      <c r="O80" s="17">
        <f t="shared" si="3"/>
        <v>215.5</v>
      </c>
      <c r="P80" s="8" t="s">
        <v>635</v>
      </c>
      <c r="Q80" s="1"/>
      <c r="S80" s="32" t="s">
        <v>633</v>
      </c>
    </row>
    <row r="81" spans="1:17" ht="135" hidden="1" customHeight="1" outlineLevel="1" x14ac:dyDescent="0.25">
      <c r="A81" s="41"/>
      <c r="B81" s="1"/>
      <c r="C81" s="43"/>
      <c r="D81" s="207" t="s">
        <v>621</v>
      </c>
      <c r="E81" s="160"/>
      <c r="F81" s="160"/>
      <c r="G81" s="160"/>
      <c r="H81" s="161"/>
      <c r="I81" s="13"/>
      <c r="J81" s="5" t="s">
        <v>120</v>
      </c>
      <c r="K81" s="5" t="s">
        <v>2</v>
      </c>
      <c r="L81" s="5" t="s">
        <v>10</v>
      </c>
      <c r="M81" s="17">
        <v>0</v>
      </c>
      <c r="N81" s="17">
        <f>5000+3684.1</f>
        <v>8684.1</v>
      </c>
      <c r="O81" s="17">
        <f t="shared" si="3"/>
        <v>8684.1</v>
      </c>
      <c r="P81" s="8" t="s">
        <v>643</v>
      </c>
      <c r="Q81" s="1"/>
    </row>
    <row r="82" spans="1:17" ht="70.5" customHeight="1" collapsed="1" x14ac:dyDescent="0.25">
      <c r="A82" s="41"/>
      <c r="B82" s="1"/>
      <c r="D82" s="216" t="s">
        <v>313</v>
      </c>
      <c r="E82" s="217"/>
      <c r="F82" s="217"/>
      <c r="G82" s="217"/>
      <c r="H82" s="218"/>
      <c r="I82" s="109" t="s">
        <v>118</v>
      </c>
      <c r="J82" s="110" t="s">
        <v>108</v>
      </c>
      <c r="K82" s="110" t="s">
        <v>4</v>
      </c>
      <c r="L82" s="110" t="s">
        <v>4</v>
      </c>
      <c r="M82" s="99">
        <f>SUM(M83+M85+M88+M93)</f>
        <v>1911167.2</v>
      </c>
      <c r="N82" s="99">
        <f>SUM(N83+N85+N88+N93)</f>
        <v>48765.4</v>
      </c>
      <c r="O82" s="97">
        <f>SUM(M82:N82)</f>
        <v>1959932.5999999999</v>
      </c>
      <c r="P82" s="8"/>
      <c r="Q82" s="1"/>
    </row>
    <row r="83" spans="1:17" ht="31.5" customHeight="1" x14ac:dyDescent="0.25">
      <c r="A83" s="41"/>
      <c r="B83" s="34"/>
      <c r="C83" s="43"/>
      <c r="D83" s="208" t="s">
        <v>545</v>
      </c>
      <c r="E83" s="155"/>
      <c r="F83" s="155"/>
      <c r="G83" s="155"/>
      <c r="H83" s="155"/>
      <c r="I83" s="13" t="s">
        <v>117</v>
      </c>
      <c r="J83" s="5" t="s">
        <v>108</v>
      </c>
      <c r="K83" s="5" t="s">
        <v>23</v>
      </c>
      <c r="L83" s="5" t="s">
        <v>4</v>
      </c>
      <c r="M83" s="17">
        <f>M84</f>
        <v>1976.6</v>
      </c>
      <c r="N83" s="17">
        <f>N84</f>
        <v>0</v>
      </c>
      <c r="O83" s="17">
        <f>SUM(M83:N83)</f>
        <v>1976.6</v>
      </c>
      <c r="P83" s="20"/>
      <c r="Q83" s="1"/>
    </row>
    <row r="84" spans="1:17" ht="55.5" hidden="1" customHeight="1" outlineLevel="1" x14ac:dyDescent="0.25">
      <c r="A84" s="41"/>
      <c r="B84" s="34"/>
      <c r="C84" s="43"/>
      <c r="D84" s="239" t="s">
        <v>546</v>
      </c>
      <c r="E84" s="240"/>
      <c r="F84" s="240"/>
      <c r="G84" s="240"/>
      <c r="H84" s="241"/>
      <c r="I84" s="13"/>
      <c r="J84" s="7" t="s">
        <v>108</v>
      </c>
      <c r="K84" s="7" t="s">
        <v>23</v>
      </c>
      <c r="L84" s="7" t="s">
        <v>13</v>
      </c>
      <c r="M84" s="119">
        <v>1976.6</v>
      </c>
      <c r="N84" s="17"/>
      <c r="O84" s="17">
        <f>SUM(M84:N84)</f>
        <v>1976.6</v>
      </c>
      <c r="P84" s="20"/>
      <c r="Q84" s="1"/>
    </row>
    <row r="85" spans="1:17" ht="48" customHeight="1" collapsed="1" x14ac:dyDescent="0.25">
      <c r="A85" s="41"/>
      <c r="B85" s="34"/>
      <c r="C85" s="43"/>
      <c r="D85" s="208" t="s">
        <v>547</v>
      </c>
      <c r="E85" s="155"/>
      <c r="F85" s="155"/>
      <c r="G85" s="155"/>
      <c r="H85" s="155"/>
      <c r="I85" s="13" t="s">
        <v>116</v>
      </c>
      <c r="J85" s="5" t="s">
        <v>108</v>
      </c>
      <c r="K85" s="5" t="s">
        <v>18</v>
      </c>
      <c r="L85" s="5" t="s">
        <v>4</v>
      </c>
      <c r="M85" s="17">
        <f>M86+M87</f>
        <v>16296.3</v>
      </c>
      <c r="N85" s="17">
        <f>N86+N87</f>
        <v>0</v>
      </c>
      <c r="O85" s="17">
        <f>SUM(M85:N85)</f>
        <v>16296.3</v>
      </c>
      <c r="P85" s="8"/>
      <c r="Q85" s="1"/>
    </row>
    <row r="86" spans="1:17" ht="64.5" hidden="1" customHeight="1" outlineLevel="1" x14ac:dyDescent="0.25">
      <c r="A86" s="41"/>
      <c r="B86" s="34"/>
      <c r="C86" s="43"/>
      <c r="D86" s="207" t="s">
        <v>548</v>
      </c>
      <c r="E86" s="160"/>
      <c r="F86" s="160"/>
      <c r="G86" s="160"/>
      <c r="H86" s="161"/>
      <c r="I86" s="13" t="s">
        <v>115</v>
      </c>
      <c r="J86" s="5" t="s">
        <v>108</v>
      </c>
      <c r="K86" s="5" t="s">
        <v>18</v>
      </c>
      <c r="L86" s="5" t="s">
        <v>13</v>
      </c>
      <c r="M86" s="119">
        <v>16285.5</v>
      </c>
      <c r="N86" s="17"/>
      <c r="O86" s="17">
        <f t="shared" ref="O86:O99" si="4">SUM(M86:N86)</f>
        <v>16285.5</v>
      </c>
      <c r="P86" s="8"/>
      <c r="Q86" s="1"/>
    </row>
    <row r="87" spans="1:17" ht="84" hidden="1" customHeight="1" outlineLevel="1" x14ac:dyDescent="0.25">
      <c r="A87" s="41"/>
      <c r="B87" s="34"/>
      <c r="C87" s="43"/>
      <c r="D87" s="207" t="s">
        <v>549</v>
      </c>
      <c r="E87" s="160"/>
      <c r="F87" s="160"/>
      <c r="G87" s="160"/>
      <c r="H87" s="161"/>
      <c r="I87" s="13" t="s">
        <v>114</v>
      </c>
      <c r="J87" s="5" t="s">
        <v>108</v>
      </c>
      <c r="K87" s="5" t="s">
        <v>18</v>
      </c>
      <c r="L87" s="5" t="s">
        <v>11</v>
      </c>
      <c r="M87" s="119">
        <v>10.8</v>
      </c>
      <c r="N87" s="17"/>
      <c r="O87" s="17">
        <f t="shared" si="4"/>
        <v>10.8</v>
      </c>
      <c r="P87" s="8"/>
      <c r="Q87" s="1"/>
    </row>
    <row r="88" spans="1:17" ht="104.25" customHeight="1" collapsed="1" x14ac:dyDescent="0.25">
      <c r="A88" s="41"/>
      <c r="B88" s="34"/>
      <c r="C88" s="43"/>
      <c r="D88" s="208" t="s">
        <v>550</v>
      </c>
      <c r="E88" s="155"/>
      <c r="F88" s="155"/>
      <c r="G88" s="155"/>
      <c r="H88" s="155"/>
      <c r="I88" s="13" t="s">
        <v>113</v>
      </c>
      <c r="J88" s="5" t="s">
        <v>108</v>
      </c>
      <c r="K88" s="5" t="s">
        <v>27</v>
      </c>
      <c r="L88" s="5" t="s">
        <v>4</v>
      </c>
      <c r="M88" s="17">
        <f>M89+M90+M91+M92</f>
        <v>1892894.3</v>
      </c>
      <c r="N88" s="17">
        <f>N89+N91+N92+N90</f>
        <v>48765.4</v>
      </c>
      <c r="O88" s="17">
        <f>SUM(M88:N88)</f>
        <v>1941659.7</v>
      </c>
      <c r="P88" s="8" t="s">
        <v>654</v>
      </c>
      <c r="Q88" s="1"/>
    </row>
    <row r="89" spans="1:17" ht="83.25" hidden="1" customHeight="1" outlineLevel="1" x14ac:dyDescent="0.25">
      <c r="A89" s="41"/>
      <c r="B89" s="34"/>
      <c r="C89" s="43"/>
      <c r="D89" s="207" t="s">
        <v>551</v>
      </c>
      <c r="E89" s="160"/>
      <c r="F89" s="160"/>
      <c r="G89" s="160"/>
      <c r="H89" s="161"/>
      <c r="I89" s="13" t="s">
        <v>112</v>
      </c>
      <c r="J89" s="5" t="s">
        <v>108</v>
      </c>
      <c r="K89" s="5" t="s">
        <v>27</v>
      </c>
      <c r="L89" s="5" t="s">
        <v>13</v>
      </c>
      <c r="M89" s="119">
        <v>100</v>
      </c>
      <c r="N89" s="17">
        <v>150</v>
      </c>
      <c r="O89" s="17">
        <f t="shared" si="4"/>
        <v>250</v>
      </c>
      <c r="P89" s="8" t="s">
        <v>634</v>
      </c>
      <c r="Q89" s="1"/>
    </row>
    <row r="90" spans="1:17" ht="46.5" hidden="1" customHeight="1" outlineLevel="1" x14ac:dyDescent="0.25">
      <c r="A90" s="41"/>
      <c r="B90" s="34"/>
      <c r="C90" s="43"/>
      <c r="D90" s="207" t="s">
        <v>552</v>
      </c>
      <c r="E90" s="160"/>
      <c r="F90" s="160"/>
      <c r="G90" s="160"/>
      <c r="H90" s="161"/>
      <c r="I90" s="13"/>
      <c r="J90" s="5">
        <v>11</v>
      </c>
      <c r="K90" s="5">
        <v>3</v>
      </c>
      <c r="L90" s="5" t="s">
        <v>11</v>
      </c>
      <c r="M90" s="119">
        <v>107403.2</v>
      </c>
      <c r="N90" s="17"/>
      <c r="O90" s="17">
        <f t="shared" si="4"/>
        <v>107403.2</v>
      </c>
      <c r="P90" s="8"/>
      <c r="Q90" s="1"/>
    </row>
    <row r="91" spans="1:17" ht="49.5" hidden="1" customHeight="1" outlineLevel="1" x14ac:dyDescent="0.25">
      <c r="A91" s="41"/>
      <c r="B91" s="34"/>
      <c r="C91" s="43"/>
      <c r="D91" s="207" t="s">
        <v>553</v>
      </c>
      <c r="E91" s="160"/>
      <c r="F91" s="160"/>
      <c r="G91" s="160"/>
      <c r="H91" s="161"/>
      <c r="I91" s="13" t="s">
        <v>111</v>
      </c>
      <c r="J91" s="5" t="s">
        <v>108</v>
      </c>
      <c r="K91" s="5" t="s">
        <v>27</v>
      </c>
      <c r="L91" s="5" t="s">
        <v>26</v>
      </c>
      <c r="M91" s="17">
        <v>0</v>
      </c>
      <c r="N91" s="17"/>
      <c r="O91" s="17">
        <f t="shared" si="4"/>
        <v>0</v>
      </c>
      <c r="P91" s="8"/>
      <c r="Q91" s="1"/>
    </row>
    <row r="92" spans="1:17" ht="48" hidden="1" customHeight="1" outlineLevel="1" x14ac:dyDescent="0.25">
      <c r="A92" s="41"/>
      <c r="B92" s="34"/>
      <c r="C92" s="43"/>
      <c r="D92" s="209" t="s">
        <v>222</v>
      </c>
      <c r="E92" s="181"/>
      <c r="F92" s="181"/>
      <c r="G92" s="181"/>
      <c r="H92" s="182"/>
      <c r="I92" s="13" t="s">
        <v>110</v>
      </c>
      <c r="J92" s="5" t="s">
        <v>108</v>
      </c>
      <c r="K92" s="5" t="s">
        <v>27</v>
      </c>
      <c r="L92" s="5" t="s">
        <v>109</v>
      </c>
      <c r="M92" s="119">
        <v>1785391.1</v>
      </c>
      <c r="N92" s="17">
        <f>12794.9+35820.5</f>
        <v>48615.4</v>
      </c>
      <c r="O92" s="17">
        <f t="shared" si="4"/>
        <v>1834006.5</v>
      </c>
      <c r="P92" s="134" t="s">
        <v>653</v>
      </c>
      <c r="Q92" s="1"/>
    </row>
    <row r="93" spans="1:17" ht="36.75" customHeight="1" collapsed="1" x14ac:dyDescent="0.25">
      <c r="A93" s="41"/>
      <c r="B93" s="34"/>
      <c r="C93" s="43"/>
      <c r="D93" s="208" t="s">
        <v>610</v>
      </c>
      <c r="E93" s="155"/>
      <c r="F93" s="155"/>
      <c r="G93" s="155"/>
      <c r="H93" s="155"/>
      <c r="I93" s="13" t="s">
        <v>107</v>
      </c>
      <c r="J93" s="5" t="s">
        <v>108</v>
      </c>
      <c r="K93" s="5" t="s">
        <v>40</v>
      </c>
      <c r="L93" s="5" t="s">
        <v>4</v>
      </c>
      <c r="M93" s="17">
        <f>SUM(M94)</f>
        <v>0</v>
      </c>
      <c r="N93" s="17">
        <f>SUM(N94)</f>
        <v>0</v>
      </c>
      <c r="O93" s="17">
        <f t="shared" si="4"/>
        <v>0</v>
      </c>
      <c r="P93" s="8"/>
      <c r="Q93" s="1"/>
    </row>
    <row r="94" spans="1:17" ht="36.75" hidden="1" customHeight="1" outlineLevel="1" x14ac:dyDescent="0.25">
      <c r="A94" s="41"/>
      <c r="B94" s="34"/>
      <c r="C94" s="43"/>
      <c r="D94" s="207" t="s">
        <v>611</v>
      </c>
      <c r="E94" s="181"/>
      <c r="F94" s="181"/>
      <c r="G94" s="181"/>
      <c r="H94" s="182"/>
      <c r="I94" s="13" t="s">
        <v>107</v>
      </c>
      <c r="J94" s="5" t="s">
        <v>108</v>
      </c>
      <c r="K94" s="5" t="s">
        <v>40</v>
      </c>
      <c r="L94" s="5" t="s">
        <v>13</v>
      </c>
      <c r="M94" s="17">
        <v>0</v>
      </c>
      <c r="N94" s="17"/>
      <c r="O94" s="17">
        <f t="shared" si="4"/>
        <v>0</v>
      </c>
      <c r="P94" s="134"/>
      <c r="Q94" s="1"/>
    </row>
    <row r="95" spans="1:17" ht="77.25" customHeight="1" collapsed="1" x14ac:dyDescent="0.25">
      <c r="A95" s="41"/>
      <c r="B95" s="1"/>
      <c r="D95" s="216" t="s">
        <v>304</v>
      </c>
      <c r="E95" s="217"/>
      <c r="F95" s="217"/>
      <c r="G95" s="217"/>
      <c r="H95" s="218"/>
      <c r="I95" s="109" t="s">
        <v>106</v>
      </c>
      <c r="J95" s="110" t="s">
        <v>103</v>
      </c>
      <c r="K95" s="110" t="s">
        <v>4</v>
      </c>
      <c r="L95" s="110" t="s">
        <v>4</v>
      </c>
      <c r="M95" s="99">
        <f>M96+M97+M99+M98</f>
        <v>34488.6</v>
      </c>
      <c r="N95" s="99">
        <f>N96+N97+N99+N98</f>
        <v>-51.5</v>
      </c>
      <c r="O95" s="97">
        <f>SUM(M95:N95)</f>
        <v>34437.1</v>
      </c>
      <c r="P95" s="8" t="s">
        <v>667</v>
      </c>
      <c r="Q95" s="1"/>
    </row>
    <row r="96" spans="1:17" ht="55.5" hidden="1" customHeight="1" outlineLevel="1" x14ac:dyDescent="0.25">
      <c r="A96" s="41"/>
      <c r="B96" s="34"/>
      <c r="C96" s="43"/>
      <c r="D96" s="207" t="s">
        <v>554</v>
      </c>
      <c r="E96" s="160"/>
      <c r="F96" s="160"/>
      <c r="G96" s="160"/>
      <c r="H96" s="161"/>
      <c r="I96" s="13" t="s">
        <v>105</v>
      </c>
      <c r="J96" s="5" t="s">
        <v>103</v>
      </c>
      <c r="K96" s="5" t="s">
        <v>2</v>
      </c>
      <c r="L96" s="5" t="s">
        <v>13</v>
      </c>
      <c r="M96" s="121">
        <v>100</v>
      </c>
      <c r="N96" s="17"/>
      <c r="O96" s="17">
        <f t="shared" si="4"/>
        <v>100</v>
      </c>
      <c r="P96" s="77"/>
      <c r="Q96" s="1"/>
    </row>
    <row r="97" spans="1:19" ht="45" hidden="1" customHeight="1" outlineLevel="1" x14ac:dyDescent="0.25">
      <c r="A97" s="41"/>
      <c r="B97" s="34"/>
      <c r="C97" s="43"/>
      <c r="D97" s="207" t="s">
        <v>555</v>
      </c>
      <c r="E97" s="160"/>
      <c r="F97" s="160"/>
      <c r="G97" s="160"/>
      <c r="H97" s="161"/>
      <c r="I97" s="13" t="s">
        <v>104</v>
      </c>
      <c r="J97" s="5" t="s">
        <v>103</v>
      </c>
      <c r="K97" s="5" t="s">
        <v>2</v>
      </c>
      <c r="L97" s="5" t="s">
        <v>11</v>
      </c>
      <c r="M97" s="121">
        <v>33488.6</v>
      </c>
      <c r="N97" s="17">
        <f>-251.5</f>
        <v>-251.5</v>
      </c>
      <c r="O97" s="17">
        <f t="shared" si="4"/>
        <v>33237.1</v>
      </c>
      <c r="P97" s="8" t="s">
        <v>650</v>
      </c>
      <c r="Q97" s="1"/>
      <c r="R97" s="40"/>
    </row>
    <row r="98" spans="1:19" ht="42.75" hidden="1" customHeight="1" outlineLevel="1" x14ac:dyDescent="0.25">
      <c r="A98" s="41"/>
      <c r="B98" s="34"/>
      <c r="C98" s="43"/>
      <c r="D98" s="207" t="s">
        <v>556</v>
      </c>
      <c r="E98" s="160"/>
      <c r="F98" s="160"/>
      <c r="G98" s="160"/>
      <c r="H98" s="161"/>
      <c r="I98" s="13" t="s">
        <v>102</v>
      </c>
      <c r="J98" s="5" t="s">
        <v>103</v>
      </c>
      <c r="K98" s="5" t="s">
        <v>2</v>
      </c>
      <c r="L98" s="5" t="s">
        <v>26</v>
      </c>
      <c r="M98" s="121">
        <v>900</v>
      </c>
      <c r="N98" s="17">
        <f>200</f>
        <v>200</v>
      </c>
      <c r="O98" s="17">
        <f t="shared" si="4"/>
        <v>1100</v>
      </c>
      <c r="P98" s="135" t="s">
        <v>629</v>
      </c>
      <c r="Q98" s="1"/>
    </row>
    <row r="99" spans="1:19" ht="27.75" hidden="1" customHeight="1" outlineLevel="1" x14ac:dyDescent="0.25">
      <c r="A99" s="41"/>
      <c r="B99" s="34"/>
      <c r="C99" s="43"/>
      <c r="D99" s="207" t="s">
        <v>293</v>
      </c>
      <c r="E99" s="160"/>
      <c r="F99" s="160"/>
      <c r="G99" s="160"/>
      <c r="H99" s="161"/>
      <c r="I99" s="13" t="s">
        <v>102</v>
      </c>
      <c r="J99" s="5" t="s">
        <v>103</v>
      </c>
      <c r="K99" s="5" t="s">
        <v>2</v>
      </c>
      <c r="L99" s="5" t="s">
        <v>294</v>
      </c>
      <c r="M99" s="17">
        <v>0</v>
      </c>
      <c r="N99" s="17"/>
      <c r="O99" s="17">
        <f t="shared" si="4"/>
        <v>0</v>
      </c>
      <c r="P99" s="77"/>
      <c r="Q99" s="1"/>
    </row>
    <row r="100" spans="1:19" ht="30.75" customHeight="1" collapsed="1" x14ac:dyDescent="0.25">
      <c r="A100" s="41"/>
      <c r="B100" s="1"/>
      <c r="D100" s="216" t="s">
        <v>314</v>
      </c>
      <c r="E100" s="217"/>
      <c r="F100" s="217"/>
      <c r="G100" s="217"/>
      <c r="H100" s="218"/>
      <c r="I100" s="109" t="s">
        <v>101</v>
      </c>
      <c r="J100" s="110" t="s">
        <v>95</v>
      </c>
      <c r="K100" s="110" t="s">
        <v>4</v>
      </c>
      <c r="L100" s="110" t="s">
        <v>4</v>
      </c>
      <c r="M100" s="99">
        <f>M101+M105+M107</f>
        <v>194700</v>
      </c>
      <c r="N100" s="99">
        <f>N101+N105+N107</f>
        <v>-21520.9</v>
      </c>
      <c r="O100" s="97">
        <f t="shared" ref="O100:O106" si="5">SUM(M100:N100)</f>
        <v>173179.1</v>
      </c>
      <c r="P100" s="111"/>
      <c r="Q100" s="1"/>
    </row>
    <row r="101" spans="1:19" ht="39.75" customHeight="1" x14ac:dyDescent="0.25">
      <c r="A101" s="41"/>
      <c r="B101" s="34"/>
      <c r="C101" s="43"/>
      <c r="D101" s="208" t="s">
        <v>612</v>
      </c>
      <c r="E101" s="155"/>
      <c r="F101" s="155"/>
      <c r="G101" s="155"/>
      <c r="H101" s="155"/>
      <c r="I101" s="13" t="s">
        <v>100</v>
      </c>
      <c r="J101" s="5" t="s">
        <v>95</v>
      </c>
      <c r="K101" s="5" t="s">
        <v>23</v>
      </c>
      <c r="L101" s="5" t="s">
        <v>4</v>
      </c>
      <c r="M101" s="17">
        <f>M102+M103+M104</f>
        <v>21000</v>
      </c>
      <c r="N101" s="17">
        <f>N102+N103</f>
        <v>-3707</v>
      </c>
      <c r="O101" s="17">
        <f t="shared" si="5"/>
        <v>17293</v>
      </c>
      <c r="P101" s="8" t="s">
        <v>636</v>
      </c>
      <c r="Q101" s="1"/>
    </row>
    <row r="102" spans="1:19" ht="34.5" hidden="1" customHeight="1" outlineLevel="1" x14ac:dyDescent="0.25">
      <c r="A102" s="41"/>
      <c r="B102" s="34"/>
      <c r="C102" s="43"/>
      <c r="D102" s="207" t="s">
        <v>613</v>
      </c>
      <c r="E102" s="181"/>
      <c r="F102" s="181"/>
      <c r="G102" s="181"/>
      <c r="H102" s="182"/>
      <c r="I102" s="13" t="s">
        <v>99</v>
      </c>
      <c r="J102" s="5" t="s">
        <v>95</v>
      </c>
      <c r="K102" s="5" t="s">
        <v>23</v>
      </c>
      <c r="L102" s="5" t="s">
        <v>13</v>
      </c>
      <c r="M102" s="119">
        <v>3000</v>
      </c>
      <c r="N102" s="17"/>
      <c r="O102" s="17">
        <f t="shared" si="5"/>
        <v>3000</v>
      </c>
      <c r="P102" s="8"/>
      <c r="Q102" s="1"/>
    </row>
    <row r="103" spans="1:19" ht="47.25" hidden="1" customHeight="1" outlineLevel="1" x14ac:dyDescent="0.25">
      <c r="A103" s="41"/>
      <c r="B103" s="34"/>
      <c r="C103" s="43"/>
      <c r="D103" s="207" t="s">
        <v>614</v>
      </c>
      <c r="E103" s="181"/>
      <c r="F103" s="181"/>
      <c r="G103" s="181"/>
      <c r="H103" s="182"/>
      <c r="I103" s="13" t="s">
        <v>98</v>
      </c>
      <c r="J103" s="5" t="s">
        <v>95</v>
      </c>
      <c r="K103" s="5" t="s">
        <v>23</v>
      </c>
      <c r="L103" s="5" t="s">
        <v>11</v>
      </c>
      <c r="M103" s="119">
        <v>13000</v>
      </c>
      <c r="N103" s="17">
        <v>-3707</v>
      </c>
      <c r="O103" s="17">
        <f t="shared" si="5"/>
        <v>9293</v>
      </c>
      <c r="P103" s="8" t="s">
        <v>636</v>
      </c>
      <c r="Q103" s="1"/>
    </row>
    <row r="104" spans="1:19" ht="114.75" hidden="1" customHeight="1" outlineLevel="1" x14ac:dyDescent="0.25">
      <c r="A104" s="41"/>
      <c r="B104" s="34"/>
      <c r="C104" s="43"/>
      <c r="D104" s="207" t="s">
        <v>615</v>
      </c>
      <c r="E104" s="160"/>
      <c r="F104" s="160"/>
      <c r="G104" s="160"/>
      <c r="H104" s="161"/>
      <c r="I104" s="13"/>
      <c r="J104" s="5" t="s">
        <v>95</v>
      </c>
      <c r="K104" s="5" t="s">
        <v>23</v>
      </c>
      <c r="L104" s="5" t="s">
        <v>26</v>
      </c>
      <c r="M104" s="119">
        <v>5000</v>
      </c>
      <c r="N104" s="17"/>
      <c r="O104" s="17">
        <f t="shared" si="5"/>
        <v>5000</v>
      </c>
      <c r="P104" s="136"/>
      <c r="Q104" s="1"/>
    </row>
    <row r="105" spans="1:19" ht="41.25" customHeight="1" collapsed="1" x14ac:dyDescent="0.25">
      <c r="A105" s="41"/>
      <c r="B105" s="34"/>
      <c r="C105" s="43"/>
      <c r="D105" s="208" t="s">
        <v>616</v>
      </c>
      <c r="E105" s="155"/>
      <c r="F105" s="155"/>
      <c r="G105" s="155"/>
      <c r="H105" s="155"/>
      <c r="I105" s="13" t="s">
        <v>97</v>
      </c>
      <c r="J105" s="5" t="s">
        <v>95</v>
      </c>
      <c r="K105" s="5" t="s">
        <v>18</v>
      </c>
      <c r="L105" s="5" t="s">
        <v>4</v>
      </c>
      <c r="M105" s="17">
        <f>M106</f>
        <v>170000</v>
      </c>
      <c r="N105" s="17">
        <f>N106</f>
        <v>-15000</v>
      </c>
      <c r="O105" s="17">
        <f t="shared" si="5"/>
        <v>155000</v>
      </c>
      <c r="P105" s="133" t="s">
        <v>668</v>
      </c>
      <c r="Q105" s="1"/>
    </row>
    <row r="106" spans="1:19" ht="54" hidden="1" customHeight="1" outlineLevel="1" x14ac:dyDescent="0.25">
      <c r="A106" s="41"/>
      <c r="B106" s="34"/>
      <c r="C106" s="43"/>
      <c r="D106" s="207" t="s">
        <v>617</v>
      </c>
      <c r="E106" s="181"/>
      <c r="F106" s="181"/>
      <c r="G106" s="181"/>
      <c r="H106" s="182"/>
      <c r="I106" s="13" t="s">
        <v>97</v>
      </c>
      <c r="J106" s="5" t="s">
        <v>95</v>
      </c>
      <c r="K106" s="5" t="s">
        <v>18</v>
      </c>
      <c r="L106" s="5" t="s">
        <v>13</v>
      </c>
      <c r="M106" s="119">
        <v>170000</v>
      </c>
      <c r="N106" s="17">
        <v>-15000</v>
      </c>
      <c r="O106" s="17">
        <f t="shared" si="5"/>
        <v>155000</v>
      </c>
      <c r="P106" s="133" t="s">
        <v>631</v>
      </c>
      <c r="Q106" s="1"/>
      <c r="S106" s="32" t="s">
        <v>630</v>
      </c>
    </row>
    <row r="107" spans="1:19" ht="95.25" customHeight="1" collapsed="1" x14ac:dyDescent="0.25">
      <c r="A107" s="41"/>
      <c r="B107" s="34"/>
      <c r="C107" s="43"/>
      <c r="D107" s="208" t="s">
        <v>618</v>
      </c>
      <c r="E107" s="155"/>
      <c r="F107" s="155"/>
      <c r="G107" s="155"/>
      <c r="H107" s="155"/>
      <c r="I107" s="13" t="s">
        <v>96</v>
      </c>
      <c r="J107" s="5" t="s">
        <v>95</v>
      </c>
      <c r="K107" s="5" t="s">
        <v>27</v>
      </c>
      <c r="L107" s="5" t="s">
        <v>4</v>
      </c>
      <c r="M107" s="17">
        <f>M108</f>
        <v>3700</v>
      </c>
      <c r="N107" s="17">
        <f>N108</f>
        <v>-2813.9</v>
      </c>
      <c r="O107" s="17">
        <f>O108</f>
        <v>886.09999999999991</v>
      </c>
      <c r="P107" s="8" t="s">
        <v>637</v>
      </c>
      <c r="Q107" s="1"/>
    </row>
    <row r="108" spans="1:19" ht="84.75" hidden="1" customHeight="1" outlineLevel="1" x14ac:dyDescent="0.25">
      <c r="A108" s="41"/>
      <c r="B108" s="34"/>
      <c r="C108" s="43"/>
      <c r="D108" s="207" t="s">
        <v>619</v>
      </c>
      <c r="E108" s="181"/>
      <c r="F108" s="181"/>
      <c r="G108" s="181"/>
      <c r="H108" s="182"/>
      <c r="I108" s="13" t="s">
        <v>96</v>
      </c>
      <c r="J108" s="5" t="s">
        <v>95</v>
      </c>
      <c r="K108" s="5" t="s">
        <v>27</v>
      </c>
      <c r="L108" s="5" t="s">
        <v>13</v>
      </c>
      <c r="M108" s="119">
        <v>3700</v>
      </c>
      <c r="N108" s="17">
        <f>-215.5-98.4-2500</f>
        <v>-2813.9</v>
      </c>
      <c r="O108" s="17">
        <f>SUM(M108:N108)</f>
        <v>886.09999999999991</v>
      </c>
      <c r="P108" s="8" t="s">
        <v>637</v>
      </c>
      <c r="Q108" s="1"/>
    </row>
    <row r="109" spans="1:19" ht="42" customHeight="1" collapsed="1" x14ac:dyDescent="0.25">
      <c r="A109" s="41"/>
      <c r="B109" s="1"/>
      <c r="D109" s="216" t="s">
        <v>315</v>
      </c>
      <c r="E109" s="217"/>
      <c r="F109" s="217"/>
      <c r="G109" s="217"/>
      <c r="H109" s="218"/>
      <c r="I109" s="109" t="s">
        <v>94</v>
      </c>
      <c r="J109" s="110" t="s">
        <v>84</v>
      </c>
      <c r="K109" s="110" t="s">
        <v>4</v>
      </c>
      <c r="L109" s="110" t="s">
        <v>4</v>
      </c>
      <c r="M109" s="99">
        <f>M110+M115+M120+M122+M124</f>
        <v>61152.600000000006</v>
      </c>
      <c r="N109" s="99">
        <f>N110+N115+N120+N122+N124</f>
        <v>-9576.4</v>
      </c>
      <c r="O109" s="97">
        <f>SUM(M109:N109)</f>
        <v>51576.200000000004</v>
      </c>
      <c r="P109" s="8"/>
      <c r="Q109" s="1"/>
    </row>
    <row r="110" spans="1:19" ht="74.25" customHeight="1" x14ac:dyDescent="0.25">
      <c r="A110" s="41"/>
      <c r="B110" s="34"/>
      <c r="C110" s="43"/>
      <c r="D110" s="208" t="s">
        <v>595</v>
      </c>
      <c r="E110" s="155"/>
      <c r="F110" s="155"/>
      <c r="G110" s="155"/>
      <c r="H110" s="155"/>
      <c r="I110" s="13" t="s">
        <v>93</v>
      </c>
      <c r="J110" s="5" t="s">
        <v>84</v>
      </c>
      <c r="K110" s="5" t="s">
        <v>23</v>
      </c>
      <c r="L110" s="5" t="s">
        <v>4</v>
      </c>
      <c r="M110" s="17">
        <f>M111+M112+M113+M114</f>
        <v>43607.3</v>
      </c>
      <c r="N110" s="17">
        <f>N111+N112+N113+N114</f>
        <v>-8115</v>
      </c>
      <c r="O110" s="17">
        <f>SUM(M110:N110)</f>
        <v>35492.300000000003</v>
      </c>
      <c r="P110" s="8" t="s">
        <v>673</v>
      </c>
      <c r="Q110" s="1"/>
    </row>
    <row r="111" spans="1:19" ht="51" hidden="1" customHeight="1" outlineLevel="2" x14ac:dyDescent="0.25">
      <c r="A111" s="41"/>
      <c r="B111" s="34"/>
      <c r="C111" s="43"/>
      <c r="D111" s="207" t="s">
        <v>596</v>
      </c>
      <c r="E111" s="160"/>
      <c r="F111" s="160"/>
      <c r="G111" s="160"/>
      <c r="H111" s="161"/>
      <c r="I111" s="13" t="s">
        <v>92</v>
      </c>
      <c r="J111" s="5" t="s">
        <v>84</v>
      </c>
      <c r="K111" s="5" t="s">
        <v>23</v>
      </c>
      <c r="L111" s="5" t="s">
        <v>13</v>
      </c>
      <c r="M111" s="119">
        <v>3207.3</v>
      </c>
      <c r="N111" s="17"/>
      <c r="O111" s="17">
        <f t="shared" ref="O111:O130" si="6">SUM(M111:N111)</f>
        <v>3207.3</v>
      </c>
      <c r="P111" s="8"/>
      <c r="Q111" s="1"/>
    </row>
    <row r="112" spans="1:19" ht="40.5" hidden="1" customHeight="1" outlineLevel="2" x14ac:dyDescent="0.25">
      <c r="A112" s="41"/>
      <c r="B112" s="34"/>
      <c r="C112" s="43"/>
      <c r="D112" s="207" t="s">
        <v>620</v>
      </c>
      <c r="E112" s="160"/>
      <c r="F112" s="160"/>
      <c r="G112" s="160"/>
      <c r="H112" s="161"/>
      <c r="I112" s="13" t="s">
        <v>91</v>
      </c>
      <c r="J112" s="5" t="s">
        <v>84</v>
      </c>
      <c r="K112" s="5" t="s">
        <v>23</v>
      </c>
      <c r="L112" s="5" t="s">
        <v>11</v>
      </c>
      <c r="M112" s="119">
        <v>33400</v>
      </c>
      <c r="N112" s="17">
        <v>-5615</v>
      </c>
      <c r="O112" s="17">
        <f t="shared" si="6"/>
        <v>27785</v>
      </c>
      <c r="P112" s="8" t="s">
        <v>639</v>
      </c>
      <c r="Q112" s="1"/>
    </row>
    <row r="113" spans="1:17" ht="36.75" hidden="1" customHeight="1" outlineLevel="2" x14ac:dyDescent="0.25">
      <c r="A113" s="41"/>
      <c r="B113" s="34"/>
      <c r="C113" s="43"/>
      <c r="D113" s="207" t="s">
        <v>597</v>
      </c>
      <c r="E113" s="160"/>
      <c r="F113" s="160"/>
      <c r="G113" s="160"/>
      <c r="H113" s="161"/>
      <c r="I113" s="18" t="s">
        <v>343</v>
      </c>
      <c r="J113" s="9" t="s">
        <v>84</v>
      </c>
      <c r="K113" s="9" t="s">
        <v>23</v>
      </c>
      <c r="L113" s="9" t="s">
        <v>26</v>
      </c>
      <c r="M113" s="119">
        <v>7000</v>
      </c>
      <c r="N113" s="17">
        <v>-2500</v>
      </c>
      <c r="O113" s="17">
        <f t="shared" si="6"/>
        <v>4500</v>
      </c>
      <c r="P113" s="8" t="s">
        <v>638</v>
      </c>
      <c r="Q113" s="1"/>
    </row>
    <row r="114" spans="1:17" ht="29.25" hidden="1" customHeight="1" outlineLevel="2" x14ac:dyDescent="0.25">
      <c r="A114" s="41"/>
      <c r="B114" s="34"/>
      <c r="C114" s="43"/>
      <c r="D114" s="207" t="s">
        <v>347</v>
      </c>
      <c r="E114" s="160"/>
      <c r="F114" s="160"/>
      <c r="G114" s="160"/>
      <c r="H114" s="161"/>
      <c r="I114" s="18"/>
      <c r="J114" s="9" t="s">
        <v>84</v>
      </c>
      <c r="K114" s="9" t="s">
        <v>23</v>
      </c>
      <c r="L114" s="9" t="s">
        <v>10</v>
      </c>
      <c r="M114" s="17">
        <v>0</v>
      </c>
      <c r="N114" s="17"/>
      <c r="O114" s="17">
        <f t="shared" si="6"/>
        <v>0</v>
      </c>
      <c r="P114" s="8"/>
      <c r="Q114" s="1"/>
    </row>
    <row r="115" spans="1:17" ht="51" customHeight="1" collapsed="1" x14ac:dyDescent="0.25">
      <c r="A115" s="41"/>
      <c r="B115" s="34"/>
      <c r="C115" s="43"/>
      <c r="D115" s="208" t="s">
        <v>598</v>
      </c>
      <c r="E115" s="155"/>
      <c r="F115" s="155"/>
      <c r="G115" s="155"/>
      <c r="H115" s="155"/>
      <c r="I115" s="13" t="s">
        <v>90</v>
      </c>
      <c r="J115" s="5" t="s">
        <v>84</v>
      </c>
      <c r="K115" s="5" t="s">
        <v>18</v>
      </c>
      <c r="L115" s="5" t="s">
        <v>4</v>
      </c>
      <c r="M115" s="17">
        <f>M116+M117+M118+M119</f>
        <v>15745.3</v>
      </c>
      <c r="N115" s="17">
        <f>N116+N117+N118+N119</f>
        <v>0</v>
      </c>
      <c r="O115" s="17">
        <f>O116+O117+O118+O119</f>
        <v>15745.3</v>
      </c>
      <c r="P115" s="8"/>
      <c r="Q115" s="1"/>
    </row>
    <row r="116" spans="1:17" ht="63" hidden="1" customHeight="1" outlineLevel="1" x14ac:dyDescent="0.25">
      <c r="A116" s="41"/>
      <c r="B116" s="34"/>
      <c r="C116" s="43"/>
      <c r="D116" s="207" t="s">
        <v>599</v>
      </c>
      <c r="E116" s="181"/>
      <c r="F116" s="181"/>
      <c r="G116" s="181"/>
      <c r="H116" s="182"/>
      <c r="I116" s="13" t="s">
        <v>89</v>
      </c>
      <c r="J116" s="5" t="s">
        <v>84</v>
      </c>
      <c r="K116" s="5" t="s">
        <v>18</v>
      </c>
      <c r="L116" s="5" t="s">
        <v>13</v>
      </c>
      <c r="M116" s="119">
        <v>10984.5</v>
      </c>
      <c r="N116" s="17"/>
      <c r="O116" s="17">
        <f t="shared" si="6"/>
        <v>10984.5</v>
      </c>
      <c r="P116" s="8"/>
      <c r="Q116" s="1"/>
    </row>
    <row r="117" spans="1:17" ht="37.5" hidden="1" customHeight="1" outlineLevel="1" x14ac:dyDescent="0.25">
      <c r="A117" s="41"/>
      <c r="B117" s="34"/>
      <c r="C117" s="43"/>
      <c r="D117" s="207" t="s">
        <v>600</v>
      </c>
      <c r="E117" s="160"/>
      <c r="F117" s="160"/>
      <c r="G117" s="160"/>
      <c r="H117" s="161"/>
      <c r="I117" s="13" t="s">
        <v>88</v>
      </c>
      <c r="J117" s="5" t="s">
        <v>84</v>
      </c>
      <c r="K117" s="5" t="s">
        <v>18</v>
      </c>
      <c r="L117" s="5" t="s">
        <v>11</v>
      </c>
      <c r="M117" s="17">
        <v>0</v>
      </c>
      <c r="N117" s="17"/>
      <c r="O117" s="17">
        <f t="shared" si="6"/>
        <v>0</v>
      </c>
      <c r="P117" s="8"/>
      <c r="Q117" s="1"/>
    </row>
    <row r="118" spans="1:17" ht="64.5" hidden="1" customHeight="1" outlineLevel="1" x14ac:dyDescent="0.25">
      <c r="A118" s="41"/>
      <c r="B118" s="34"/>
      <c r="C118" s="43"/>
      <c r="D118" s="207" t="s">
        <v>601</v>
      </c>
      <c r="E118" s="160"/>
      <c r="F118" s="160"/>
      <c r="G118" s="160"/>
      <c r="H118" s="161"/>
      <c r="I118" s="13" t="s">
        <v>87</v>
      </c>
      <c r="J118" s="5" t="s">
        <v>84</v>
      </c>
      <c r="K118" s="5" t="s">
        <v>18</v>
      </c>
      <c r="L118" s="5" t="s">
        <v>26</v>
      </c>
      <c r="M118" s="119">
        <v>4760.8</v>
      </c>
      <c r="N118" s="17"/>
      <c r="O118" s="17">
        <f t="shared" si="6"/>
        <v>4760.8</v>
      </c>
      <c r="P118" s="8"/>
      <c r="Q118" s="1"/>
    </row>
    <row r="119" spans="1:17" ht="79.5" hidden="1" customHeight="1" outlineLevel="1" x14ac:dyDescent="0.25">
      <c r="A119" s="34"/>
      <c r="B119" s="34"/>
      <c r="C119" s="1"/>
      <c r="D119" s="207" t="s">
        <v>602</v>
      </c>
      <c r="E119" s="160"/>
      <c r="F119" s="160"/>
      <c r="G119" s="160"/>
      <c r="H119" s="161"/>
      <c r="I119" s="13"/>
      <c r="J119" s="5" t="s">
        <v>84</v>
      </c>
      <c r="K119" s="5" t="s">
        <v>18</v>
      </c>
      <c r="L119" s="9" t="s">
        <v>10</v>
      </c>
      <c r="M119" s="17">
        <v>0</v>
      </c>
      <c r="N119" s="17"/>
      <c r="O119" s="17">
        <f t="shared" si="6"/>
        <v>0</v>
      </c>
      <c r="P119" s="8"/>
      <c r="Q119" s="1"/>
    </row>
    <row r="120" spans="1:17" ht="42" customHeight="1" collapsed="1" x14ac:dyDescent="0.25">
      <c r="A120" s="41"/>
      <c r="B120" s="34"/>
      <c r="C120" s="43"/>
      <c r="D120" s="208" t="s">
        <v>603</v>
      </c>
      <c r="E120" s="155"/>
      <c r="F120" s="155"/>
      <c r="G120" s="155"/>
      <c r="H120" s="155"/>
      <c r="I120" s="13" t="s">
        <v>86</v>
      </c>
      <c r="J120" s="5" t="s">
        <v>84</v>
      </c>
      <c r="K120" s="5" t="s">
        <v>27</v>
      </c>
      <c r="L120" s="5" t="s">
        <v>4</v>
      </c>
      <c r="M120" s="17">
        <f>M121</f>
        <v>300</v>
      </c>
      <c r="N120" s="17">
        <f>N121</f>
        <v>0</v>
      </c>
      <c r="O120" s="17">
        <f>SUM(M120:N120)</f>
        <v>300</v>
      </c>
      <c r="P120" s="8"/>
      <c r="Q120" s="1"/>
    </row>
    <row r="121" spans="1:17" ht="24" hidden="1" customHeight="1" outlineLevel="1" x14ac:dyDescent="0.25">
      <c r="A121" s="41"/>
      <c r="B121" s="34"/>
      <c r="C121" s="43"/>
      <c r="D121" s="207" t="s">
        <v>604</v>
      </c>
      <c r="E121" s="181"/>
      <c r="F121" s="181"/>
      <c r="G121" s="181"/>
      <c r="H121" s="182"/>
      <c r="I121" s="13" t="s">
        <v>86</v>
      </c>
      <c r="J121" s="5" t="s">
        <v>84</v>
      </c>
      <c r="K121" s="5" t="s">
        <v>27</v>
      </c>
      <c r="L121" s="5" t="s">
        <v>13</v>
      </c>
      <c r="M121" s="119">
        <v>300</v>
      </c>
      <c r="N121" s="17"/>
      <c r="O121" s="17">
        <f t="shared" si="6"/>
        <v>300</v>
      </c>
      <c r="P121" s="8"/>
      <c r="Q121" s="1"/>
    </row>
    <row r="122" spans="1:17" ht="40.5" customHeight="1" collapsed="1" x14ac:dyDescent="0.25">
      <c r="A122" s="41"/>
      <c r="B122" s="34"/>
      <c r="C122" s="43"/>
      <c r="D122" s="208" t="s">
        <v>605</v>
      </c>
      <c r="E122" s="155"/>
      <c r="F122" s="155"/>
      <c r="G122" s="155"/>
      <c r="H122" s="155"/>
      <c r="I122" s="13" t="s">
        <v>85</v>
      </c>
      <c r="J122" s="5" t="s">
        <v>84</v>
      </c>
      <c r="K122" s="5" t="s">
        <v>40</v>
      </c>
      <c r="L122" s="5" t="s">
        <v>4</v>
      </c>
      <c r="M122" s="17">
        <f>M123</f>
        <v>1500</v>
      </c>
      <c r="N122" s="17">
        <f>N123</f>
        <v>-1461.4</v>
      </c>
      <c r="O122" s="17">
        <f>SUM(M122:N122)</f>
        <v>38.599999999999909</v>
      </c>
      <c r="P122" s="8" t="s">
        <v>640</v>
      </c>
      <c r="Q122" s="1"/>
    </row>
    <row r="123" spans="1:17" ht="32.25" hidden="1" customHeight="1" outlineLevel="1" x14ac:dyDescent="0.25">
      <c r="A123" s="41"/>
      <c r="B123" s="34"/>
      <c r="C123" s="43"/>
      <c r="D123" s="207" t="s">
        <v>606</v>
      </c>
      <c r="E123" s="181"/>
      <c r="F123" s="181"/>
      <c r="G123" s="181"/>
      <c r="H123" s="182"/>
      <c r="I123" s="13" t="s">
        <v>85</v>
      </c>
      <c r="J123" s="5" t="s">
        <v>84</v>
      </c>
      <c r="K123" s="5" t="s">
        <v>40</v>
      </c>
      <c r="L123" s="5" t="s">
        <v>13</v>
      </c>
      <c r="M123" s="119">
        <v>1500</v>
      </c>
      <c r="N123" s="17">
        <v>-1461.4</v>
      </c>
      <c r="O123" s="17">
        <f>SUM(M123:N123)</f>
        <v>38.599999999999909</v>
      </c>
      <c r="P123" s="8" t="s">
        <v>640</v>
      </c>
      <c r="Q123" s="1"/>
    </row>
    <row r="124" spans="1:17" ht="26.25" customHeight="1" collapsed="1" x14ac:dyDescent="0.25">
      <c r="A124" s="41"/>
      <c r="B124" s="34"/>
      <c r="C124" s="43"/>
      <c r="D124" s="208" t="s">
        <v>607</v>
      </c>
      <c r="E124" s="155"/>
      <c r="F124" s="155"/>
      <c r="G124" s="155"/>
      <c r="H124" s="155"/>
      <c r="I124" s="13" t="s">
        <v>82</v>
      </c>
      <c r="J124" s="5" t="s">
        <v>84</v>
      </c>
      <c r="K124" s="5" t="s">
        <v>83</v>
      </c>
      <c r="L124" s="5" t="s">
        <v>4</v>
      </c>
      <c r="M124" s="17">
        <f>M125</f>
        <v>0</v>
      </c>
      <c r="N124" s="17">
        <f>N125</f>
        <v>0</v>
      </c>
      <c r="O124" s="17">
        <f>O125</f>
        <v>0</v>
      </c>
      <c r="P124" s="8"/>
      <c r="Q124" s="1"/>
    </row>
    <row r="125" spans="1:17" ht="37.5" hidden="1" customHeight="1" outlineLevel="1" x14ac:dyDescent="0.25">
      <c r="A125" s="41"/>
      <c r="B125" s="34"/>
      <c r="C125" s="43"/>
      <c r="D125" s="207" t="s">
        <v>608</v>
      </c>
      <c r="E125" s="160"/>
      <c r="F125" s="160"/>
      <c r="G125" s="160"/>
      <c r="H125" s="161"/>
      <c r="I125" s="13" t="s">
        <v>82</v>
      </c>
      <c r="J125" s="5" t="s">
        <v>84</v>
      </c>
      <c r="K125" s="5" t="s">
        <v>83</v>
      </c>
      <c r="L125" s="5" t="s">
        <v>13</v>
      </c>
      <c r="M125" s="17"/>
      <c r="N125" s="17"/>
      <c r="O125" s="17">
        <f t="shared" si="6"/>
        <v>0</v>
      </c>
      <c r="P125" s="8"/>
      <c r="Q125" s="1"/>
    </row>
    <row r="126" spans="1:17" ht="54" customHeight="1" collapsed="1" x14ac:dyDescent="0.25">
      <c r="A126" s="41"/>
      <c r="B126" s="1"/>
      <c r="D126" s="216" t="s">
        <v>316</v>
      </c>
      <c r="E126" s="217"/>
      <c r="F126" s="217"/>
      <c r="G126" s="217"/>
      <c r="H126" s="218"/>
      <c r="I126" s="109" t="s">
        <v>81</v>
      </c>
      <c r="J126" s="110" t="s">
        <v>80</v>
      </c>
      <c r="K126" s="110" t="s">
        <v>4</v>
      </c>
      <c r="L126" s="110" t="s">
        <v>4</v>
      </c>
      <c r="M126" s="99">
        <f>M127</f>
        <v>8224.4</v>
      </c>
      <c r="N126" s="99">
        <f>N127</f>
        <v>0</v>
      </c>
      <c r="O126" s="98">
        <f>SUM(M126:N126)</f>
        <v>8224.4</v>
      </c>
      <c r="P126" s="8"/>
      <c r="Q126" s="1"/>
    </row>
    <row r="127" spans="1:17" ht="56.25" hidden="1" customHeight="1" outlineLevel="1" x14ac:dyDescent="0.25">
      <c r="A127" s="41"/>
      <c r="B127" s="34"/>
      <c r="C127" s="43"/>
      <c r="D127" s="207" t="s">
        <v>568</v>
      </c>
      <c r="E127" s="181"/>
      <c r="F127" s="181"/>
      <c r="G127" s="181"/>
      <c r="H127" s="182"/>
      <c r="I127" s="13" t="s">
        <v>81</v>
      </c>
      <c r="J127" s="5" t="s">
        <v>80</v>
      </c>
      <c r="K127" s="5" t="s">
        <v>2</v>
      </c>
      <c r="L127" s="5" t="s">
        <v>13</v>
      </c>
      <c r="M127" s="119">
        <v>8224.4</v>
      </c>
      <c r="N127" s="17"/>
      <c r="O127" s="17">
        <f t="shared" si="6"/>
        <v>8224.4</v>
      </c>
      <c r="P127" s="8"/>
      <c r="Q127" s="1"/>
    </row>
    <row r="128" spans="1:17" ht="63" customHeight="1" collapsed="1" x14ac:dyDescent="0.25">
      <c r="A128" s="41"/>
      <c r="B128" s="1"/>
      <c r="D128" s="216" t="s">
        <v>328</v>
      </c>
      <c r="E128" s="217"/>
      <c r="F128" s="217"/>
      <c r="G128" s="217"/>
      <c r="H128" s="218"/>
      <c r="I128" s="109" t="s">
        <v>78</v>
      </c>
      <c r="J128" s="110" t="s">
        <v>79</v>
      </c>
      <c r="K128" s="114" t="s">
        <v>4</v>
      </c>
      <c r="L128" s="114" t="s">
        <v>4</v>
      </c>
      <c r="M128" s="115">
        <f>SUM(M129:M130)</f>
        <v>3000</v>
      </c>
      <c r="N128" s="115">
        <f>SUM(N129:N130)</f>
        <v>0</v>
      </c>
      <c r="O128" s="98">
        <f>SUM(M128:N128)</f>
        <v>3000</v>
      </c>
      <c r="P128" s="8"/>
      <c r="Q128" s="1"/>
    </row>
    <row r="129" spans="1:17" ht="45" hidden="1" customHeight="1" outlineLevel="1" x14ac:dyDescent="0.25">
      <c r="A129" s="41"/>
      <c r="B129" s="34"/>
      <c r="C129" s="43"/>
      <c r="D129" s="207" t="s">
        <v>569</v>
      </c>
      <c r="E129" s="181"/>
      <c r="F129" s="181"/>
      <c r="G129" s="181"/>
      <c r="H129" s="182"/>
      <c r="I129" s="13" t="s">
        <v>78</v>
      </c>
      <c r="J129" s="5" t="s">
        <v>79</v>
      </c>
      <c r="K129" s="5" t="s">
        <v>2</v>
      </c>
      <c r="L129" s="5" t="s">
        <v>13</v>
      </c>
      <c r="M129" s="119">
        <v>3000</v>
      </c>
      <c r="N129" s="17"/>
      <c r="O129" s="16">
        <f t="shared" si="6"/>
        <v>3000</v>
      </c>
      <c r="P129" s="133"/>
      <c r="Q129" s="1"/>
    </row>
    <row r="130" spans="1:17" ht="62.25" hidden="1" customHeight="1" outlineLevel="1" x14ac:dyDescent="0.25">
      <c r="A130" s="41"/>
      <c r="B130" s="34"/>
      <c r="C130" s="43"/>
      <c r="D130" s="207" t="s">
        <v>570</v>
      </c>
      <c r="E130" s="160"/>
      <c r="F130" s="160"/>
      <c r="G130" s="160"/>
      <c r="H130" s="161"/>
      <c r="I130" s="13">
        <v>1600200000</v>
      </c>
      <c r="J130" s="5">
        <v>16</v>
      </c>
      <c r="K130" s="5">
        <v>0</v>
      </c>
      <c r="L130" s="9" t="s">
        <v>11</v>
      </c>
      <c r="M130" s="17">
        <v>0</v>
      </c>
      <c r="N130" s="17"/>
      <c r="O130" s="16">
        <f t="shared" si="6"/>
        <v>0</v>
      </c>
      <c r="P130" s="133"/>
      <c r="Q130" s="1"/>
    </row>
    <row r="131" spans="1:17" ht="51" customHeight="1" collapsed="1" x14ac:dyDescent="0.25">
      <c r="A131" s="41"/>
      <c r="B131" s="1"/>
      <c r="D131" s="216" t="s">
        <v>334</v>
      </c>
      <c r="E131" s="217"/>
      <c r="F131" s="217"/>
      <c r="G131" s="217"/>
      <c r="H131" s="218"/>
      <c r="I131" s="109" t="s">
        <v>77</v>
      </c>
      <c r="J131" s="110" t="s">
        <v>71</v>
      </c>
      <c r="K131" s="110" t="s">
        <v>4</v>
      </c>
      <c r="L131" s="110" t="s">
        <v>4</v>
      </c>
      <c r="M131" s="99">
        <f>M132+M137</f>
        <v>1275.3</v>
      </c>
      <c r="N131" s="99">
        <f>N132+N137</f>
        <v>0</v>
      </c>
      <c r="O131" s="98">
        <f>SUM(M131:N131)</f>
        <v>1275.3</v>
      </c>
      <c r="P131" s="111"/>
      <c r="Q131" s="1"/>
    </row>
    <row r="132" spans="1:17" ht="32.25" customHeight="1" x14ac:dyDescent="0.25">
      <c r="A132" s="41"/>
      <c r="B132" s="34"/>
      <c r="C132" s="43"/>
      <c r="D132" s="208" t="s">
        <v>571</v>
      </c>
      <c r="E132" s="155"/>
      <c r="F132" s="155"/>
      <c r="G132" s="155"/>
      <c r="H132" s="155"/>
      <c r="I132" s="13" t="s">
        <v>76</v>
      </c>
      <c r="J132" s="5" t="s">
        <v>71</v>
      </c>
      <c r="K132" s="5" t="s">
        <v>23</v>
      </c>
      <c r="L132" s="5"/>
      <c r="M132" s="17">
        <f>M133+M134+M135+M136</f>
        <v>1205.3</v>
      </c>
      <c r="N132" s="17">
        <f>N133+N134+N135+N136</f>
        <v>0</v>
      </c>
      <c r="O132" s="17">
        <f>SUM(M132:N132)</f>
        <v>1205.3</v>
      </c>
      <c r="P132" s="8"/>
      <c r="Q132" s="1"/>
    </row>
    <row r="133" spans="1:17" ht="56.25" hidden="1" customHeight="1" outlineLevel="1" x14ac:dyDescent="0.25">
      <c r="A133" s="41"/>
      <c r="B133" s="34"/>
      <c r="C133" s="43"/>
      <c r="D133" s="207" t="s">
        <v>572</v>
      </c>
      <c r="E133" s="181"/>
      <c r="F133" s="181"/>
      <c r="G133" s="181"/>
      <c r="H133" s="182"/>
      <c r="I133" s="13" t="s">
        <v>75</v>
      </c>
      <c r="J133" s="5" t="s">
        <v>71</v>
      </c>
      <c r="K133" s="5" t="s">
        <v>23</v>
      </c>
      <c r="L133" s="5" t="s">
        <v>13</v>
      </c>
      <c r="M133" s="119">
        <v>205.3</v>
      </c>
      <c r="N133" s="17"/>
      <c r="O133" s="17">
        <f t="shared" ref="O133:O140" si="7">SUM(M133:N133)</f>
        <v>205.3</v>
      </c>
      <c r="P133" s="135"/>
      <c r="Q133" s="1"/>
    </row>
    <row r="134" spans="1:17" ht="49.5" hidden="1" customHeight="1" outlineLevel="1" x14ac:dyDescent="0.25">
      <c r="A134" s="41"/>
      <c r="B134" s="34"/>
      <c r="C134" s="43"/>
      <c r="D134" s="207" t="s">
        <v>573</v>
      </c>
      <c r="E134" s="181"/>
      <c r="F134" s="181"/>
      <c r="G134" s="181"/>
      <c r="H134" s="182"/>
      <c r="I134" s="13" t="s">
        <v>74</v>
      </c>
      <c r="J134" s="5" t="s">
        <v>71</v>
      </c>
      <c r="K134" s="5" t="s">
        <v>23</v>
      </c>
      <c r="L134" s="5" t="s">
        <v>11</v>
      </c>
      <c r="M134" s="17">
        <v>0</v>
      </c>
      <c r="N134" s="17"/>
      <c r="O134" s="17">
        <f t="shared" si="7"/>
        <v>0</v>
      </c>
      <c r="P134" s="8"/>
      <c r="Q134" s="1"/>
    </row>
    <row r="135" spans="1:17" ht="65.25" hidden="1" customHeight="1" outlineLevel="1" x14ac:dyDescent="0.25">
      <c r="A135" s="41"/>
      <c r="B135" s="34"/>
      <c r="C135" s="43"/>
      <c r="D135" s="207" t="s">
        <v>574</v>
      </c>
      <c r="E135" s="181"/>
      <c r="F135" s="181"/>
      <c r="G135" s="181"/>
      <c r="H135" s="182"/>
      <c r="I135" s="13" t="s">
        <v>73</v>
      </c>
      <c r="J135" s="5" t="s">
        <v>71</v>
      </c>
      <c r="K135" s="5" t="s">
        <v>23</v>
      </c>
      <c r="L135" s="5" t="s">
        <v>26</v>
      </c>
      <c r="M135" s="119">
        <v>1000</v>
      </c>
      <c r="N135" s="17"/>
      <c r="O135" s="17">
        <f t="shared" si="7"/>
        <v>1000</v>
      </c>
      <c r="P135" s="8"/>
      <c r="Q135" s="1"/>
    </row>
    <row r="136" spans="1:17" ht="24.75" hidden="1" customHeight="1" outlineLevel="1" x14ac:dyDescent="0.25">
      <c r="A136" s="41"/>
      <c r="B136" s="34"/>
      <c r="C136" s="43"/>
      <c r="D136" s="207" t="s">
        <v>575</v>
      </c>
      <c r="E136" s="181"/>
      <c r="F136" s="181"/>
      <c r="G136" s="181"/>
      <c r="H136" s="182"/>
      <c r="I136" s="13" t="s">
        <v>72</v>
      </c>
      <c r="J136" s="5" t="s">
        <v>71</v>
      </c>
      <c r="K136" s="5" t="s">
        <v>23</v>
      </c>
      <c r="L136" s="5" t="s">
        <v>10</v>
      </c>
      <c r="M136" s="17">
        <v>0</v>
      </c>
      <c r="N136" s="17"/>
      <c r="O136" s="17">
        <f t="shared" si="7"/>
        <v>0</v>
      </c>
      <c r="P136" s="8"/>
      <c r="Q136" s="1"/>
    </row>
    <row r="137" spans="1:17" ht="42.75" customHeight="1" collapsed="1" x14ac:dyDescent="0.25">
      <c r="A137" s="41"/>
      <c r="B137" s="34"/>
      <c r="C137" s="43"/>
      <c r="D137" s="208" t="s">
        <v>576</v>
      </c>
      <c r="E137" s="155"/>
      <c r="F137" s="155"/>
      <c r="G137" s="155"/>
      <c r="H137" s="155"/>
      <c r="I137" s="13" t="s">
        <v>70</v>
      </c>
      <c r="J137" s="5" t="s">
        <v>71</v>
      </c>
      <c r="K137" s="5" t="s">
        <v>18</v>
      </c>
      <c r="L137" s="5" t="s">
        <v>4</v>
      </c>
      <c r="M137" s="17">
        <f>M138+M139+M140</f>
        <v>70</v>
      </c>
      <c r="N137" s="17">
        <f>N138+N139+N140</f>
        <v>0</v>
      </c>
      <c r="O137" s="17">
        <f>O138+O139+O140</f>
        <v>70</v>
      </c>
      <c r="P137" s="8"/>
      <c r="Q137" s="1"/>
    </row>
    <row r="138" spans="1:17" ht="51" hidden="1" customHeight="1" outlineLevel="1" x14ac:dyDescent="0.25">
      <c r="A138" s="41"/>
      <c r="B138" s="34"/>
      <c r="C138" s="43"/>
      <c r="D138" s="207" t="s">
        <v>577</v>
      </c>
      <c r="E138" s="181"/>
      <c r="F138" s="181"/>
      <c r="G138" s="181"/>
      <c r="H138" s="182"/>
      <c r="I138" s="13" t="s">
        <v>70</v>
      </c>
      <c r="J138" s="5" t="s">
        <v>71</v>
      </c>
      <c r="K138" s="5" t="s">
        <v>18</v>
      </c>
      <c r="L138" s="5" t="s">
        <v>13</v>
      </c>
      <c r="M138" s="119">
        <v>50</v>
      </c>
      <c r="N138" s="17"/>
      <c r="O138" s="17">
        <f t="shared" si="7"/>
        <v>50</v>
      </c>
      <c r="P138" s="8"/>
      <c r="Q138" s="1"/>
    </row>
    <row r="139" spans="1:17" ht="32.25" hidden="1" customHeight="1" outlineLevel="1" x14ac:dyDescent="0.25">
      <c r="A139" s="41"/>
      <c r="B139" s="1"/>
      <c r="C139" s="43"/>
      <c r="D139" s="207" t="s">
        <v>578</v>
      </c>
      <c r="E139" s="160"/>
      <c r="F139" s="160"/>
      <c r="G139" s="160"/>
      <c r="H139" s="161"/>
      <c r="I139" s="13"/>
      <c r="J139" s="5">
        <v>17</v>
      </c>
      <c r="K139" s="5">
        <v>2</v>
      </c>
      <c r="L139" s="9" t="s">
        <v>11</v>
      </c>
      <c r="M139" s="119">
        <v>20</v>
      </c>
      <c r="N139" s="17"/>
      <c r="O139" s="17">
        <f t="shared" si="7"/>
        <v>20</v>
      </c>
      <c r="P139" s="135"/>
      <c r="Q139" s="1"/>
    </row>
    <row r="140" spans="1:17" ht="32.25" hidden="1" customHeight="1" outlineLevel="1" x14ac:dyDescent="0.25">
      <c r="A140" s="41"/>
      <c r="B140" s="1"/>
      <c r="C140" s="43"/>
      <c r="D140" s="207" t="s">
        <v>579</v>
      </c>
      <c r="E140" s="160"/>
      <c r="F140" s="160"/>
      <c r="G140" s="160"/>
      <c r="H140" s="161"/>
      <c r="I140" s="13"/>
      <c r="J140" s="5">
        <v>17</v>
      </c>
      <c r="K140" s="5">
        <v>2</v>
      </c>
      <c r="L140" s="9" t="s">
        <v>10</v>
      </c>
      <c r="M140" s="17">
        <v>0</v>
      </c>
      <c r="N140" s="17"/>
      <c r="O140" s="17">
        <f t="shared" si="7"/>
        <v>0</v>
      </c>
      <c r="P140" s="135"/>
      <c r="Q140" s="1"/>
    </row>
    <row r="141" spans="1:17" ht="51" customHeight="1" collapsed="1" x14ac:dyDescent="0.25">
      <c r="A141" s="41"/>
      <c r="B141" s="1"/>
      <c r="D141" s="216" t="s">
        <v>300</v>
      </c>
      <c r="E141" s="217"/>
      <c r="F141" s="217"/>
      <c r="G141" s="217"/>
      <c r="H141" s="218"/>
      <c r="I141" s="109" t="s">
        <v>69</v>
      </c>
      <c r="J141" s="110" t="s">
        <v>60</v>
      </c>
      <c r="K141" s="110" t="s">
        <v>4</v>
      </c>
      <c r="L141" s="110" t="s">
        <v>4</v>
      </c>
      <c r="M141" s="99">
        <f>M142+M148+M150</f>
        <v>2763.8</v>
      </c>
      <c r="N141" s="99">
        <f>N142+N148+N150</f>
        <v>0</v>
      </c>
      <c r="O141" s="98">
        <f>SUM(M141:N141)</f>
        <v>2763.8</v>
      </c>
      <c r="P141" s="111"/>
      <c r="Q141" s="1"/>
    </row>
    <row r="142" spans="1:17" ht="62.25" customHeight="1" x14ac:dyDescent="0.25">
      <c r="A142" s="41"/>
      <c r="B142" s="34"/>
      <c r="C142" s="43"/>
      <c r="D142" s="208" t="s">
        <v>557</v>
      </c>
      <c r="E142" s="155"/>
      <c r="F142" s="155"/>
      <c r="G142" s="155"/>
      <c r="H142" s="155"/>
      <c r="I142" s="13" t="s">
        <v>68</v>
      </c>
      <c r="J142" s="5" t="s">
        <v>60</v>
      </c>
      <c r="K142" s="5" t="s">
        <v>23</v>
      </c>
      <c r="L142" s="5" t="s">
        <v>4</v>
      </c>
      <c r="M142" s="17">
        <f>M143+M144+M145+M146+M147</f>
        <v>613.79999999999995</v>
      </c>
      <c r="N142" s="17">
        <f>N143+N144+N145+N147</f>
        <v>0</v>
      </c>
      <c r="O142" s="17">
        <f>SUM(M142:N142)</f>
        <v>613.79999999999995</v>
      </c>
      <c r="P142" s="8"/>
      <c r="Q142" s="1"/>
    </row>
    <row r="143" spans="1:17" ht="46.5" hidden="1" customHeight="1" outlineLevel="1" x14ac:dyDescent="0.25">
      <c r="A143" s="41"/>
      <c r="B143" s="34"/>
      <c r="C143" s="43"/>
      <c r="D143" s="207" t="s">
        <v>558</v>
      </c>
      <c r="E143" s="160"/>
      <c r="F143" s="160"/>
      <c r="G143" s="160"/>
      <c r="H143" s="161"/>
      <c r="I143" s="13" t="s">
        <v>67</v>
      </c>
      <c r="J143" s="5" t="s">
        <v>60</v>
      </c>
      <c r="K143" s="5" t="s">
        <v>23</v>
      </c>
      <c r="L143" s="5" t="s">
        <v>13</v>
      </c>
      <c r="M143" s="119">
        <v>100</v>
      </c>
      <c r="N143" s="17"/>
      <c r="O143" s="17">
        <f t="shared" ref="O143:O152" si="8">SUM(M143:N143)</f>
        <v>100</v>
      </c>
      <c r="P143" s="8"/>
      <c r="Q143" s="1"/>
    </row>
    <row r="144" spans="1:17" ht="45" hidden="1" customHeight="1" outlineLevel="1" x14ac:dyDescent="0.25">
      <c r="A144" s="41"/>
      <c r="B144" s="34"/>
      <c r="C144" s="43"/>
      <c r="D144" s="207" t="s">
        <v>559</v>
      </c>
      <c r="E144" s="160"/>
      <c r="F144" s="160"/>
      <c r="G144" s="160"/>
      <c r="H144" s="161"/>
      <c r="I144" s="13" t="s">
        <v>66</v>
      </c>
      <c r="J144" s="5" t="s">
        <v>60</v>
      </c>
      <c r="K144" s="5" t="s">
        <v>23</v>
      </c>
      <c r="L144" s="5" t="s">
        <v>11</v>
      </c>
      <c r="M144" s="119">
        <v>15</v>
      </c>
      <c r="N144" s="17"/>
      <c r="O144" s="17">
        <f t="shared" si="8"/>
        <v>15</v>
      </c>
      <c r="P144" s="8"/>
      <c r="Q144" s="1"/>
    </row>
    <row r="145" spans="1:20" ht="48.75" hidden="1" customHeight="1" outlineLevel="1" x14ac:dyDescent="0.25">
      <c r="A145" s="41"/>
      <c r="B145" s="34"/>
      <c r="C145" s="43"/>
      <c r="D145" s="207" t="s">
        <v>561</v>
      </c>
      <c r="E145" s="160"/>
      <c r="F145" s="160"/>
      <c r="G145" s="160"/>
      <c r="H145" s="161"/>
      <c r="I145" s="13" t="s">
        <v>65</v>
      </c>
      <c r="J145" s="5" t="s">
        <v>60</v>
      </c>
      <c r="K145" s="5" t="s">
        <v>23</v>
      </c>
      <c r="L145" s="5" t="s">
        <v>26</v>
      </c>
      <c r="M145" s="17">
        <v>0</v>
      </c>
      <c r="N145" s="17"/>
      <c r="O145" s="17">
        <f t="shared" si="8"/>
        <v>0</v>
      </c>
      <c r="P145" s="8"/>
      <c r="Q145" s="1"/>
    </row>
    <row r="146" spans="1:20" ht="27.75" hidden="1" customHeight="1" outlineLevel="1" x14ac:dyDescent="0.25">
      <c r="A146" s="41"/>
      <c r="B146" s="34"/>
      <c r="C146" s="43"/>
      <c r="D146" s="230" t="s">
        <v>560</v>
      </c>
      <c r="E146" s="231"/>
      <c r="F146" s="231"/>
      <c r="G146" s="231"/>
      <c r="H146" s="232"/>
      <c r="I146" s="13"/>
      <c r="J146" s="5" t="s">
        <v>60</v>
      </c>
      <c r="K146" s="5" t="s">
        <v>23</v>
      </c>
      <c r="L146" s="5">
        <v>4</v>
      </c>
      <c r="M146" s="119">
        <v>266.5</v>
      </c>
      <c r="N146" s="17"/>
      <c r="O146" s="17">
        <f>SUM(M145:N145)</f>
        <v>0</v>
      </c>
      <c r="P146" s="8"/>
      <c r="Q146" s="1"/>
    </row>
    <row r="147" spans="1:20" ht="54" hidden="1" customHeight="1" outlineLevel="1" x14ac:dyDescent="0.25">
      <c r="A147" s="41"/>
      <c r="B147" s="34"/>
      <c r="C147" s="43"/>
      <c r="D147" s="207" t="s">
        <v>562</v>
      </c>
      <c r="E147" s="160"/>
      <c r="F147" s="160"/>
      <c r="G147" s="160"/>
      <c r="H147" s="161"/>
      <c r="I147" s="13" t="s">
        <v>64</v>
      </c>
      <c r="J147" s="5" t="s">
        <v>60</v>
      </c>
      <c r="K147" s="5" t="s">
        <v>23</v>
      </c>
      <c r="L147" s="5" t="s">
        <v>7</v>
      </c>
      <c r="M147" s="119">
        <v>232.3</v>
      </c>
      <c r="N147" s="17"/>
      <c r="O147" s="17">
        <f t="shared" si="8"/>
        <v>232.3</v>
      </c>
      <c r="P147" s="8"/>
      <c r="Q147" s="1"/>
    </row>
    <row r="148" spans="1:20" ht="39.75" customHeight="1" collapsed="1" x14ac:dyDescent="0.25">
      <c r="A148" s="41"/>
      <c r="B148" s="34"/>
      <c r="C148" s="43"/>
      <c r="D148" s="208" t="s">
        <v>563</v>
      </c>
      <c r="E148" s="155"/>
      <c r="F148" s="155"/>
      <c r="G148" s="155"/>
      <c r="H148" s="155"/>
      <c r="I148" s="13" t="s">
        <v>63</v>
      </c>
      <c r="J148" s="5" t="s">
        <v>60</v>
      </c>
      <c r="K148" s="5" t="s">
        <v>18</v>
      </c>
      <c r="L148" s="5" t="s">
        <v>4</v>
      </c>
      <c r="M148" s="17">
        <f>M149</f>
        <v>30</v>
      </c>
      <c r="N148" s="17">
        <f>N149</f>
        <v>0</v>
      </c>
      <c r="O148" s="17">
        <f>SUM(M148:N148)</f>
        <v>30</v>
      </c>
      <c r="P148" s="8"/>
      <c r="Q148" s="1"/>
    </row>
    <row r="149" spans="1:20" ht="45.75" hidden="1" customHeight="1" outlineLevel="1" x14ac:dyDescent="0.25">
      <c r="A149" s="41"/>
      <c r="B149" s="34"/>
      <c r="C149" s="43"/>
      <c r="D149" s="233" t="s">
        <v>564</v>
      </c>
      <c r="E149" s="234"/>
      <c r="F149" s="234"/>
      <c r="G149" s="234"/>
      <c r="H149" s="235"/>
      <c r="I149" s="13" t="s">
        <v>63</v>
      </c>
      <c r="J149" s="5" t="s">
        <v>60</v>
      </c>
      <c r="K149" s="5" t="s">
        <v>18</v>
      </c>
      <c r="L149" s="5" t="s">
        <v>13</v>
      </c>
      <c r="M149" s="119">
        <v>30</v>
      </c>
      <c r="N149" s="17"/>
      <c r="O149" s="17">
        <f t="shared" si="8"/>
        <v>30</v>
      </c>
      <c r="P149" s="8"/>
      <c r="Q149" s="1"/>
    </row>
    <row r="150" spans="1:20" ht="34.5" customHeight="1" collapsed="1" x14ac:dyDescent="0.25">
      <c r="A150" s="41"/>
      <c r="B150" s="34"/>
      <c r="C150" s="43"/>
      <c r="D150" s="208" t="s">
        <v>565</v>
      </c>
      <c r="E150" s="155"/>
      <c r="F150" s="155"/>
      <c r="G150" s="155"/>
      <c r="H150" s="155"/>
      <c r="I150" s="13" t="s">
        <v>62</v>
      </c>
      <c r="J150" s="5" t="s">
        <v>60</v>
      </c>
      <c r="K150" s="5" t="s">
        <v>27</v>
      </c>
      <c r="L150" s="5" t="s">
        <v>4</v>
      </c>
      <c r="M150" s="17">
        <f>M151+M152</f>
        <v>2120</v>
      </c>
      <c r="N150" s="17">
        <f>N151+N152</f>
        <v>0</v>
      </c>
      <c r="O150" s="17">
        <f>SUM(M150:N150)</f>
        <v>2120</v>
      </c>
      <c r="P150" s="8"/>
      <c r="Q150" s="1"/>
    </row>
    <row r="151" spans="1:20" ht="26.25" hidden="1" customHeight="1" outlineLevel="1" x14ac:dyDescent="0.25">
      <c r="A151" s="41"/>
      <c r="B151" s="34"/>
      <c r="C151" s="43"/>
      <c r="D151" s="236" t="s">
        <v>566</v>
      </c>
      <c r="E151" s="237"/>
      <c r="F151" s="237"/>
      <c r="G151" s="237"/>
      <c r="H151" s="238"/>
      <c r="I151" s="13" t="s">
        <v>61</v>
      </c>
      <c r="J151" s="5" t="s">
        <v>60</v>
      </c>
      <c r="K151" s="5" t="s">
        <v>27</v>
      </c>
      <c r="L151" s="5" t="s">
        <v>13</v>
      </c>
      <c r="M151" s="119">
        <v>20</v>
      </c>
      <c r="N151" s="17"/>
      <c r="O151" s="17">
        <f t="shared" si="8"/>
        <v>20</v>
      </c>
      <c r="P151" s="8"/>
      <c r="Q151" s="1"/>
    </row>
    <row r="152" spans="1:20" ht="52.5" hidden="1" customHeight="1" outlineLevel="1" x14ac:dyDescent="0.25">
      <c r="A152" s="41"/>
      <c r="B152" s="34"/>
      <c r="C152" s="43"/>
      <c r="D152" s="207" t="s">
        <v>567</v>
      </c>
      <c r="E152" s="160"/>
      <c r="F152" s="160"/>
      <c r="G152" s="160"/>
      <c r="H152" s="161"/>
      <c r="I152" s="13" t="s">
        <v>59</v>
      </c>
      <c r="J152" s="5" t="s">
        <v>60</v>
      </c>
      <c r="K152" s="5" t="s">
        <v>27</v>
      </c>
      <c r="L152" s="5" t="s">
        <v>11</v>
      </c>
      <c r="M152" s="119">
        <v>2100</v>
      </c>
      <c r="N152" s="17"/>
      <c r="O152" s="17">
        <f t="shared" si="8"/>
        <v>2100</v>
      </c>
      <c r="P152" s="8"/>
      <c r="Q152" s="1">
        <v>0</v>
      </c>
      <c r="R152" s="78"/>
      <c r="T152" s="78"/>
    </row>
    <row r="153" spans="1:20" ht="87.75" customHeight="1" collapsed="1" x14ac:dyDescent="0.25">
      <c r="A153" s="41"/>
      <c r="B153" s="1"/>
      <c r="D153" s="216" t="s">
        <v>335</v>
      </c>
      <c r="E153" s="217"/>
      <c r="F153" s="217"/>
      <c r="G153" s="217"/>
      <c r="H153" s="218"/>
      <c r="I153" s="109" t="s">
        <v>38</v>
      </c>
      <c r="J153" s="110" t="s">
        <v>37</v>
      </c>
      <c r="K153" s="110" t="s">
        <v>4</v>
      </c>
      <c r="L153" s="110" t="s">
        <v>4</v>
      </c>
      <c r="M153" s="99">
        <f>M154</f>
        <v>2239</v>
      </c>
      <c r="N153" s="99">
        <f>N154</f>
        <v>-1890.7</v>
      </c>
      <c r="O153" s="99">
        <f>O154</f>
        <v>348.29999999999995</v>
      </c>
      <c r="P153" s="8" t="s">
        <v>651</v>
      </c>
      <c r="Q153" s="1"/>
    </row>
    <row r="154" spans="1:20" ht="80.25" hidden="1" customHeight="1" outlineLevel="1" x14ac:dyDescent="0.25">
      <c r="A154" s="41"/>
      <c r="B154" s="34"/>
      <c r="C154" s="43"/>
      <c r="D154" s="207" t="s">
        <v>580</v>
      </c>
      <c r="E154" s="181"/>
      <c r="F154" s="181"/>
      <c r="G154" s="181"/>
      <c r="H154" s="182"/>
      <c r="I154" s="13" t="s">
        <v>38</v>
      </c>
      <c r="J154" s="5" t="s">
        <v>37</v>
      </c>
      <c r="K154" s="5" t="s">
        <v>2</v>
      </c>
      <c r="L154" s="5" t="s">
        <v>13</v>
      </c>
      <c r="M154" s="121">
        <v>2239</v>
      </c>
      <c r="N154" s="17">
        <f>-2000+109.3</f>
        <v>-1890.7</v>
      </c>
      <c r="O154" s="17">
        <f>SUM(M154:N154)</f>
        <v>348.29999999999995</v>
      </c>
      <c r="P154" s="8" t="s">
        <v>651</v>
      </c>
      <c r="Q154" s="1"/>
    </row>
    <row r="155" spans="1:20" ht="57" customHeight="1" collapsed="1" x14ac:dyDescent="0.25">
      <c r="A155" s="41"/>
      <c r="B155" s="1"/>
      <c r="D155" s="216" t="s">
        <v>179</v>
      </c>
      <c r="E155" s="217"/>
      <c r="F155" s="217"/>
      <c r="G155" s="217"/>
      <c r="H155" s="218"/>
      <c r="I155" s="109" t="s">
        <v>36</v>
      </c>
      <c r="J155" s="110" t="s">
        <v>28</v>
      </c>
      <c r="K155" s="110" t="s">
        <v>4</v>
      </c>
      <c r="L155" s="110" t="s">
        <v>4</v>
      </c>
      <c r="M155" s="99">
        <f>SUM(M156+M160+M162)</f>
        <v>456232.1</v>
      </c>
      <c r="N155" s="99">
        <f>SUM(N156+N160+N162)</f>
        <v>-4710.7000000000007</v>
      </c>
      <c r="O155" s="99">
        <f>SUM(O156+O160+O162)</f>
        <v>451521.4</v>
      </c>
      <c r="P155" s="82"/>
      <c r="Q155" s="1"/>
    </row>
    <row r="156" spans="1:20" ht="92.25" customHeight="1" x14ac:dyDescent="0.25">
      <c r="A156" s="41"/>
      <c r="B156" s="34"/>
      <c r="C156" s="43"/>
      <c r="D156" s="208" t="s">
        <v>581</v>
      </c>
      <c r="E156" s="155"/>
      <c r="F156" s="155"/>
      <c r="G156" s="155"/>
      <c r="H156" s="155"/>
      <c r="I156" s="13" t="s">
        <v>35</v>
      </c>
      <c r="J156" s="5" t="s">
        <v>28</v>
      </c>
      <c r="K156" s="5" t="s">
        <v>23</v>
      </c>
      <c r="L156" s="5" t="s">
        <v>4</v>
      </c>
      <c r="M156" s="17">
        <f>M157+M158+M159</f>
        <v>259797</v>
      </c>
      <c r="N156" s="17">
        <f>N157+N158+N159</f>
        <v>-4449.1000000000004</v>
      </c>
      <c r="O156" s="17">
        <f>SUM(M156:N156)</f>
        <v>255347.9</v>
      </c>
      <c r="P156" s="133" t="s">
        <v>669</v>
      </c>
      <c r="Q156" s="1"/>
      <c r="R156" s="116" t="s">
        <v>386</v>
      </c>
    </row>
    <row r="157" spans="1:20" ht="60" hidden="1" customHeight="1" outlineLevel="1" x14ac:dyDescent="0.25">
      <c r="A157" s="41"/>
      <c r="B157" s="34"/>
      <c r="C157" s="43"/>
      <c r="D157" s="207" t="s">
        <v>582</v>
      </c>
      <c r="E157" s="181"/>
      <c r="F157" s="181"/>
      <c r="G157" s="181"/>
      <c r="H157" s="182"/>
      <c r="I157" s="13" t="s">
        <v>34</v>
      </c>
      <c r="J157" s="5" t="s">
        <v>28</v>
      </c>
      <c r="K157" s="5" t="s">
        <v>23</v>
      </c>
      <c r="L157" s="5" t="s">
        <v>13</v>
      </c>
      <c r="M157" s="121">
        <v>237895</v>
      </c>
      <c r="N157" s="17">
        <f>-690-75</f>
        <v>-765</v>
      </c>
      <c r="O157" s="17">
        <f t="shared" ref="O157:O165" si="9">SUM(M157:N157)</f>
        <v>237130</v>
      </c>
      <c r="P157" s="133" t="s">
        <v>641</v>
      </c>
      <c r="Q157" s="1"/>
      <c r="S157" s="32" t="s">
        <v>630</v>
      </c>
    </row>
    <row r="158" spans="1:20" ht="39" hidden="1" customHeight="1" outlineLevel="1" x14ac:dyDescent="0.25">
      <c r="A158" s="41"/>
      <c r="B158" s="34"/>
      <c r="C158" s="43"/>
      <c r="D158" s="207" t="s">
        <v>583</v>
      </c>
      <c r="E158" s="181"/>
      <c r="F158" s="181"/>
      <c r="G158" s="181"/>
      <c r="H158" s="182"/>
      <c r="I158" s="13" t="s">
        <v>33</v>
      </c>
      <c r="J158" s="5" t="s">
        <v>28</v>
      </c>
      <c r="K158" s="5" t="s">
        <v>23</v>
      </c>
      <c r="L158" s="5" t="s">
        <v>11</v>
      </c>
      <c r="M158" s="121">
        <v>15542</v>
      </c>
      <c r="N158" s="17"/>
      <c r="O158" s="17">
        <f t="shared" si="9"/>
        <v>15542</v>
      </c>
      <c r="P158" s="135"/>
      <c r="Q158" s="1"/>
    </row>
    <row r="159" spans="1:20" ht="63.75" hidden="1" customHeight="1" outlineLevel="1" x14ac:dyDescent="0.25">
      <c r="A159" s="41"/>
      <c r="B159" s="34"/>
      <c r="C159" s="43"/>
      <c r="D159" s="207" t="s">
        <v>584</v>
      </c>
      <c r="E159" s="160"/>
      <c r="F159" s="160"/>
      <c r="G159" s="160"/>
      <c r="H159" s="161"/>
      <c r="I159" s="13" t="s">
        <v>33</v>
      </c>
      <c r="J159" s="5" t="s">
        <v>28</v>
      </c>
      <c r="K159" s="5" t="s">
        <v>23</v>
      </c>
      <c r="L159" s="9" t="s">
        <v>10</v>
      </c>
      <c r="M159" s="121">
        <v>6360</v>
      </c>
      <c r="N159" s="17">
        <v>-3684.1</v>
      </c>
      <c r="O159" s="17">
        <f>SUM(M159:N159)</f>
        <v>2675.9</v>
      </c>
      <c r="P159" s="135" t="s">
        <v>655</v>
      </c>
      <c r="Q159" s="1"/>
    </row>
    <row r="160" spans="1:20" ht="31.5" customHeight="1" collapsed="1" x14ac:dyDescent="0.25">
      <c r="A160" s="41"/>
      <c r="B160" s="34"/>
      <c r="C160" s="43"/>
      <c r="D160" s="208" t="s">
        <v>585</v>
      </c>
      <c r="E160" s="155"/>
      <c r="F160" s="155"/>
      <c r="G160" s="155"/>
      <c r="H160" s="155"/>
      <c r="I160" s="13" t="s">
        <v>32</v>
      </c>
      <c r="J160" s="5" t="s">
        <v>28</v>
      </c>
      <c r="K160" s="5" t="s">
        <v>18</v>
      </c>
      <c r="L160" s="5" t="s">
        <v>4</v>
      </c>
      <c r="M160" s="17">
        <f>M161</f>
        <v>0</v>
      </c>
      <c r="N160" s="17">
        <f>N161</f>
        <v>0</v>
      </c>
      <c r="O160" s="17">
        <f>SUM(M160:N160)</f>
        <v>0</v>
      </c>
      <c r="P160" s="8"/>
      <c r="Q160" s="1"/>
    </row>
    <row r="161" spans="1:19" ht="46.5" hidden="1" customHeight="1" outlineLevel="1" x14ac:dyDescent="0.25">
      <c r="A161" s="41"/>
      <c r="B161" s="34"/>
      <c r="C161" s="43"/>
      <c r="D161" s="207" t="s">
        <v>586</v>
      </c>
      <c r="E161" s="181"/>
      <c r="F161" s="181"/>
      <c r="G161" s="181"/>
      <c r="H161" s="182"/>
      <c r="I161" s="13" t="s">
        <v>32</v>
      </c>
      <c r="J161" s="5" t="s">
        <v>28</v>
      </c>
      <c r="K161" s="5" t="s">
        <v>18</v>
      </c>
      <c r="L161" s="5" t="s">
        <v>13</v>
      </c>
      <c r="M161" s="17">
        <v>0</v>
      </c>
      <c r="N161" s="17"/>
      <c r="O161" s="17">
        <f t="shared" si="9"/>
        <v>0</v>
      </c>
      <c r="P161" s="8"/>
      <c r="Q161" s="1"/>
    </row>
    <row r="162" spans="1:19" ht="71.25" customHeight="1" collapsed="1" x14ac:dyDescent="0.25">
      <c r="A162" s="41"/>
      <c r="B162" s="34"/>
      <c r="C162" s="43"/>
      <c r="D162" s="208" t="s">
        <v>587</v>
      </c>
      <c r="E162" s="155"/>
      <c r="F162" s="155"/>
      <c r="G162" s="155"/>
      <c r="H162" s="155"/>
      <c r="I162" s="13" t="s">
        <v>31</v>
      </c>
      <c r="J162" s="5" t="s">
        <v>28</v>
      </c>
      <c r="K162" s="5" t="s">
        <v>27</v>
      </c>
      <c r="L162" s="5" t="s">
        <v>4</v>
      </c>
      <c r="M162" s="17">
        <f>SUM(M163:M165)</f>
        <v>196435.09999999998</v>
      </c>
      <c r="N162" s="17">
        <f>SUM(N163:N165)</f>
        <v>-261.60000000000002</v>
      </c>
      <c r="O162" s="17">
        <f>SUM(O163:O165)</f>
        <v>196173.5</v>
      </c>
      <c r="P162" s="133" t="s">
        <v>674</v>
      </c>
      <c r="Q162" s="1"/>
    </row>
    <row r="163" spans="1:19" ht="66" hidden="1" customHeight="1" outlineLevel="1" x14ac:dyDescent="0.25">
      <c r="A163" s="41"/>
      <c r="B163" s="34"/>
      <c r="C163" s="43"/>
      <c r="D163" s="207" t="s">
        <v>588</v>
      </c>
      <c r="E163" s="181"/>
      <c r="F163" s="181"/>
      <c r="G163" s="181"/>
      <c r="H163" s="182"/>
      <c r="I163" s="13" t="s">
        <v>30</v>
      </c>
      <c r="J163" s="5" t="s">
        <v>28</v>
      </c>
      <c r="K163" s="5" t="s">
        <v>27</v>
      </c>
      <c r="L163" s="5" t="s">
        <v>13</v>
      </c>
      <c r="M163" s="121">
        <v>134993.29999999999</v>
      </c>
      <c r="N163" s="17">
        <f>-160-200</f>
        <v>-360</v>
      </c>
      <c r="O163" s="17">
        <f t="shared" si="9"/>
        <v>134633.29999999999</v>
      </c>
      <c r="P163" s="133" t="s">
        <v>656</v>
      </c>
      <c r="Q163" s="1"/>
      <c r="S163" s="32" t="s">
        <v>630</v>
      </c>
    </row>
    <row r="164" spans="1:19" ht="75" hidden="1" customHeight="1" outlineLevel="1" x14ac:dyDescent="0.25">
      <c r="A164" s="41"/>
      <c r="B164" s="34"/>
      <c r="C164" s="43"/>
      <c r="D164" s="207" t="s">
        <v>589</v>
      </c>
      <c r="E164" s="181"/>
      <c r="F164" s="181"/>
      <c r="G164" s="181"/>
      <c r="H164" s="182"/>
      <c r="I164" s="13" t="s">
        <v>29</v>
      </c>
      <c r="J164" s="5" t="s">
        <v>28</v>
      </c>
      <c r="K164" s="5" t="s">
        <v>27</v>
      </c>
      <c r="L164" s="5" t="s">
        <v>11</v>
      </c>
      <c r="M164" s="121">
        <v>61441.8</v>
      </c>
      <c r="N164" s="17">
        <v>98.4</v>
      </c>
      <c r="O164" s="17">
        <f t="shared" si="9"/>
        <v>61540.200000000004</v>
      </c>
      <c r="P164" s="8" t="s">
        <v>657</v>
      </c>
      <c r="Q164" s="1"/>
    </row>
    <row r="165" spans="1:19" ht="56.25" hidden="1" customHeight="1" outlineLevel="1" x14ac:dyDescent="0.25">
      <c r="A165" s="41"/>
      <c r="B165" s="34"/>
      <c r="C165" s="43"/>
      <c r="D165" s="207" t="s">
        <v>590</v>
      </c>
      <c r="E165" s="181"/>
      <c r="F165" s="181"/>
      <c r="G165" s="181"/>
      <c r="H165" s="182"/>
      <c r="I165" s="13" t="s">
        <v>25</v>
      </c>
      <c r="J165" s="5" t="s">
        <v>28</v>
      </c>
      <c r="K165" s="5" t="s">
        <v>27</v>
      </c>
      <c r="L165" s="5" t="s">
        <v>26</v>
      </c>
      <c r="M165" s="17">
        <v>0</v>
      </c>
      <c r="N165" s="17"/>
      <c r="O165" s="17">
        <f t="shared" si="9"/>
        <v>0</v>
      </c>
      <c r="P165" s="8"/>
      <c r="Q165" s="1"/>
    </row>
    <row r="166" spans="1:19" ht="29.25" customHeight="1" collapsed="1" x14ac:dyDescent="0.25">
      <c r="A166" s="41"/>
      <c r="B166" s="1"/>
      <c r="D166" s="216" t="s">
        <v>317</v>
      </c>
      <c r="E166" s="217"/>
      <c r="F166" s="217"/>
      <c r="G166" s="217"/>
      <c r="H166" s="218"/>
      <c r="I166" s="109" t="s">
        <v>24</v>
      </c>
      <c r="J166" s="110" t="s">
        <v>19</v>
      </c>
      <c r="K166" s="110" t="s">
        <v>4</v>
      </c>
      <c r="L166" s="110" t="s">
        <v>4</v>
      </c>
      <c r="M166" s="99">
        <f>M167+M175</f>
        <v>16090.8</v>
      </c>
      <c r="N166" s="99">
        <f>N167+N175</f>
        <v>18783.2</v>
      </c>
      <c r="O166" s="99">
        <f>O167+O175</f>
        <v>34874</v>
      </c>
      <c r="P166" s="111"/>
      <c r="Q166" s="1"/>
    </row>
    <row r="167" spans="1:19" ht="42.75" customHeight="1" x14ac:dyDescent="0.25">
      <c r="A167" s="41"/>
      <c r="B167" s="34"/>
      <c r="C167" s="43"/>
      <c r="D167" s="208" t="s">
        <v>591</v>
      </c>
      <c r="E167" s="155"/>
      <c r="F167" s="155"/>
      <c r="G167" s="155"/>
      <c r="H167" s="155"/>
      <c r="I167" s="13" t="s">
        <v>22</v>
      </c>
      <c r="J167" s="5" t="s">
        <v>19</v>
      </c>
      <c r="K167" s="5" t="s">
        <v>23</v>
      </c>
      <c r="L167" s="5" t="s">
        <v>4</v>
      </c>
      <c r="M167" s="17">
        <f>M172+M168</f>
        <v>0</v>
      </c>
      <c r="N167" s="17">
        <f>N172+N168</f>
        <v>0</v>
      </c>
      <c r="O167" s="17">
        <f t="shared" ref="O167:O175" si="10">SUM(M167:N167)</f>
        <v>0</v>
      </c>
      <c r="P167" s="8"/>
      <c r="Q167" s="1"/>
    </row>
    <row r="168" spans="1:19" ht="57" hidden="1" customHeight="1" outlineLevel="1" x14ac:dyDescent="0.25">
      <c r="A168" s="41"/>
      <c r="B168" s="34"/>
      <c r="C168" s="43"/>
      <c r="D168" s="207" t="s">
        <v>592</v>
      </c>
      <c r="E168" s="160"/>
      <c r="F168" s="160"/>
      <c r="G168" s="160"/>
      <c r="H168" s="161"/>
      <c r="I168" s="13" t="s">
        <v>22</v>
      </c>
      <c r="J168" s="5" t="s">
        <v>19</v>
      </c>
      <c r="K168" s="5" t="s">
        <v>23</v>
      </c>
      <c r="L168" s="9" t="s">
        <v>13</v>
      </c>
      <c r="M168" s="17">
        <v>0</v>
      </c>
      <c r="N168" s="17"/>
      <c r="O168" s="17">
        <f t="shared" si="10"/>
        <v>0</v>
      </c>
      <c r="P168" s="8"/>
      <c r="Q168" s="1"/>
    </row>
    <row r="169" spans="1:19" ht="39.75" hidden="1" customHeight="1" outlineLevel="1" x14ac:dyDescent="0.25">
      <c r="A169" s="41"/>
      <c r="B169" s="34"/>
      <c r="C169" s="43"/>
      <c r="D169" s="207" t="s">
        <v>380</v>
      </c>
      <c r="E169" s="160"/>
      <c r="F169" s="160"/>
      <c r="G169" s="160"/>
      <c r="H169" s="161"/>
      <c r="I169" s="13"/>
      <c r="J169" s="5">
        <v>23</v>
      </c>
      <c r="K169" s="5">
        <v>1</v>
      </c>
      <c r="L169" s="9" t="s">
        <v>7</v>
      </c>
      <c r="M169" s="17">
        <v>0</v>
      </c>
      <c r="N169" s="17"/>
      <c r="O169" s="17">
        <f t="shared" si="10"/>
        <v>0</v>
      </c>
      <c r="P169" s="8"/>
      <c r="Q169" s="1"/>
    </row>
    <row r="170" spans="1:19" ht="48.75" hidden="1" customHeight="1" outlineLevel="1" x14ac:dyDescent="0.25">
      <c r="A170" s="41"/>
      <c r="B170" s="34"/>
      <c r="C170" s="43"/>
      <c r="D170" s="207" t="s">
        <v>381</v>
      </c>
      <c r="E170" s="160"/>
      <c r="F170" s="160"/>
      <c r="G170" s="160"/>
      <c r="H170" s="161"/>
      <c r="I170" s="13"/>
      <c r="J170" s="5">
        <v>23</v>
      </c>
      <c r="K170" s="5">
        <v>1</v>
      </c>
      <c r="L170" s="9" t="s">
        <v>5</v>
      </c>
      <c r="M170" s="17">
        <v>0</v>
      </c>
      <c r="N170" s="17"/>
      <c r="O170" s="17">
        <f t="shared" si="10"/>
        <v>0</v>
      </c>
      <c r="P170" s="8"/>
      <c r="Q170" s="1"/>
    </row>
    <row r="171" spans="1:19" ht="39" hidden="1" customHeight="1" outlineLevel="1" x14ac:dyDescent="0.25">
      <c r="A171" s="41"/>
      <c r="B171" s="34"/>
      <c r="C171" s="43"/>
      <c r="D171" s="207" t="s">
        <v>382</v>
      </c>
      <c r="E171" s="160"/>
      <c r="F171" s="160"/>
      <c r="G171" s="160"/>
      <c r="H171" s="161"/>
      <c r="I171" s="13"/>
      <c r="J171" s="5">
        <v>23</v>
      </c>
      <c r="K171" s="5">
        <v>1</v>
      </c>
      <c r="L171" s="9" t="s">
        <v>1</v>
      </c>
      <c r="M171" s="17">
        <v>0</v>
      </c>
      <c r="N171" s="17"/>
      <c r="O171" s="17">
        <f t="shared" si="10"/>
        <v>0</v>
      </c>
      <c r="P171" s="8"/>
      <c r="Q171" s="1"/>
    </row>
    <row r="172" spans="1:19" ht="41.25" hidden="1" customHeight="1" outlineLevel="1" x14ac:dyDescent="0.25">
      <c r="A172" s="41"/>
      <c r="B172" s="34"/>
      <c r="C172" s="43"/>
      <c r="D172" s="207" t="s">
        <v>383</v>
      </c>
      <c r="E172" s="160"/>
      <c r="F172" s="160"/>
      <c r="G172" s="160"/>
      <c r="H172" s="161"/>
      <c r="I172" s="13" t="s">
        <v>22</v>
      </c>
      <c r="J172" s="5" t="s">
        <v>19</v>
      </c>
      <c r="K172" s="5" t="s">
        <v>23</v>
      </c>
      <c r="L172" s="9" t="s">
        <v>134</v>
      </c>
      <c r="M172" s="17">
        <v>0</v>
      </c>
      <c r="N172" s="17"/>
      <c r="O172" s="17">
        <f t="shared" si="10"/>
        <v>0</v>
      </c>
      <c r="P172" s="8"/>
      <c r="Q172" s="1"/>
    </row>
    <row r="173" spans="1:19" ht="34.5" hidden="1" customHeight="1" outlineLevel="1" x14ac:dyDescent="0.25">
      <c r="A173" s="41"/>
      <c r="B173" s="34"/>
      <c r="C173" s="43"/>
      <c r="D173" s="207" t="s">
        <v>384</v>
      </c>
      <c r="E173" s="160"/>
      <c r="F173" s="160"/>
      <c r="G173" s="160"/>
      <c r="H173" s="161"/>
      <c r="I173" s="13"/>
      <c r="J173" s="5" t="s">
        <v>19</v>
      </c>
      <c r="K173" s="5" t="s">
        <v>23</v>
      </c>
      <c r="L173" s="9" t="s">
        <v>124</v>
      </c>
      <c r="M173" s="17">
        <v>0</v>
      </c>
      <c r="N173" s="17"/>
      <c r="O173" s="17">
        <f t="shared" si="10"/>
        <v>0</v>
      </c>
      <c r="P173" s="8"/>
      <c r="Q173" s="1"/>
    </row>
    <row r="174" spans="1:19" ht="28.5" hidden="1" customHeight="1" outlineLevel="1" x14ac:dyDescent="0.25">
      <c r="A174" s="41"/>
      <c r="B174" s="34"/>
      <c r="C174" s="43"/>
      <c r="D174" s="209" t="s">
        <v>279</v>
      </c>
      <c r="E174" s="181"/>
      <c r="F174" s="181"/>
      <c r="G174" s="181"/>
      <c r="H174" s="182"/>
      <c r="I174" s="13"/>
      <c r="J174" s="5" t="s">
        <v>19</v>
      </c>
      <c r="K174" s="5" t="s">
        <v>23</v>
      </c>
      <c r="L174" s="9" t="s">
        <v>17</v>
      </c>
      <c r="M174" s="17">
        <v>0</v>
      </c>
      <c r="N174" s="17"/>
      <c r="O174" s="17">
        <f t="shared" si="10"/>
        <v>0</v>
      </c>
      <c r="P174" s="8"/>
      <c r="Q174" s="1"/>
    </row>
    <row r="175" spans="1:19" ht="93.75" customHeight="1" collapsed="1" x14ac:dyDescent="0.25">
      <c r="A175" s="41"/>
      <c r="B175" s="34"/>
      <c r="C175" s="43"/>
      <c r="D175" s="208" t="s">
        <v>594</v>
      </c>
      <c r="E175" s="155"/>
      <c r="F175" s="155"/>
      <c r="G175" s="155"/>
      <c r="H175" s="155"/>
      <c r="I175" s="13" t="s">
        <v>21</v>
      </c>
      <c r="J175" s="5" t="s">
        <v>19</v>
      </c>
      <c r="K175" s="5" t="s">
        <v>18</v>
      </c>
      <c r="L175" s="5" t="s">
        <v>4</v>
      </c>
      <c r="M175" s="17">
        <f>M176+M179</f>
        <v>16090.8</v>
      </c>
      <c r="N175" s="17">
        <f>N176+N179</f>
        <v>18783.2</v>
      </c>
      <c r="O175" s="17">
        <f t="shared" si="10"/>
        <v>34874</v>
      </c>
      <c r="P175" s="8" t="s">
        <v>680</v>
      </c>
      <c r="Q175" s="1"/>
    </row>
    <row r="176" spans="1:19" ht="66.75" hidden="1" customHeight="1" outlineLevel="1" x14ac:dyDescent="0.25">
      <c r="A176" s="41"/>
      <c r="B176" s="34"/>
      <c r="C176" s="43"/>
      <c r="D176" s="207" t="s">
        <v>593</v>
      </c>
      <c r="E176" s="181"/>
      <c r="F176" s="181"/>
      <c r="G176" s="181"/>
      <c r="H176" s="182"/>
      <c r="I176" s="13" t="s">
        <v>20</v>
      </c>
      <c r="J176" s="5" t="s">
        <v>19</v>
      </c>
      <c r="K176" s="5" t="s">
        <v>18</v>
      </c>
      <c r="L176" s="5" t="s">
        <v>13</v>
      </c>
      <c r="M176" s="17">
        <v>0</v>
      </c>
      <c r="N176" s="17"/>
      <c r="O176" s="17">
        <f t="shared" ref="O176:O210" si="11">SUM(M176:N176)</f>
        <v>0</v>
      </c>
      <c r="P176" s="8"/>
      <c r="Q176" s="1"/>
    </row>
    <row r="177" spans="1:17" ht="38.25" hidden="1" customHeight="1" outlineLevel="1" x14ac:dyDescent="0.25">
      <c r="A177" s="41"/>
      <c r="B177" s="34"/>
      <c r="C177" s="43"/>
      <c r="D177" s="207" t="s">
        <v>353</v>
      </c>
      <c r="E177" s="160"/>
      <c r="F177" s="160"/>
      <c r="G177" s="160"/>
      <c r="H177" s="161"/>
      <c r="I177" s="13"/>
      <c r="J177" s="5">
        <v>23</v>
      </c>
      <c r="K177" s="5">
        <v>2</v>
      </c>
      <c r="L177" s="9" t="s">
        <v>11</v>
      </c>
      <c r="M177" s="17">
        <v>0</v>
      </c>
      <c r="N177" s="17"/>
      <c r="O177" s="17">
        <f t="shared" si="11"/>
        <v>0</v>
      </c>
      <c r="P177" s="8"/>
      <c r="Q177" s="1"/>
    </row>
    <row r="178" spans="1:17" ht="42" hidden="1" customHeight="1" outlineLevel="1" x14ac:dyDescent="0.25">
      <c r="A178" s="41"/>
      <c r="B178" s="34"/>
      <c r="C178" s="43"/>
      <c r="D178" s="207" t="s">
        <v>354</v>
      </c>
      <c r="E178" s="160"/>
      <c r="F178" s="160"/>
      <c r="G178" s="160"/>
      <c r="H178" s="161"/>
      <c r="I178" s="13"/>
      <c r="J178" s="5">
        <v>23</v>
      </c>
      <c r="K178" s="5">
        <v>2</v>
      </c>
      <c r="L178" s="9" t="s">
        <v>26</v>
      </c>
      <c r="M178" s="17">
        <v>0</v>
      </c>
      <c r="N178" s="17"/>
      <c r="O178" s="17">
        <f t="shared" si="11"/>
        <v>0</v>
      </c>
      <c r="P178" s="8"/>
      <c r="Q178" s="1"/>
    </row>
    <row r="179" spans="1:17" ht="78.75" hidden="1" customHeight="1" outlineLevel="1" x14ac:dyDescent="0.25">
      <c r="A179" s="41"/>
      <c r="B179" s="34"/>
      <c r="C179" s="43"/>
      <c r="D179" s="209" t="s">
        <v>279</v>
      </c>
      <c r="E179" s="181"/>
      <c r="F179" s="181"/>
      <c r="G179" s="181"/>
      <c r="H179" s="182"/>
      <c r="I179" s="13" t="s">
        <v>16</v>
      </c>
      <c r="J179" s="5" t="s">
        <v>19</v>
      </c>
      <c r="K179" s="5" t="s">
        <v>18</v>
      </c>
      <c r="L179" s="5" t="s">
        <v>17</v>
      </c>
      <c r="M179" s="121">
        <v>16090.8</v>
      </c>
      <c r="N179" s="17">
        <f>999.8+17783.4</f>
        <v>18783.2</v>
      </c>
      <c r="O179" s="17">
        <f t="shared" si="11"/>
        <v>34874</v>
      </c>
      <c r="P179" s="8" t="s">
        <v>642</v>
      </c>
      <c r="Q179" s="1"/>
    </row>
    <row r="180" spans="1:17" ht="48" customHeight="1" collapsed="1" x14ac:dyDescent="0.25">
      <c r="A180" s="41"/>
      <c r="B180" s="34"/>
      <c r="C180" s="43"/>
      <c r="D180" s="216" t="s">
        <v>456</v>
      </c>
      <c r="E180" s="219"/>
      <c r="F180" s="219"/>
      <c r="G180" s="219"/>
      <c r="H180" s="220"/>
      <c r="I180" s="13"/>
      <c r="J180" s="123">
        <v>24</v>
      </c>
      <c r="K180" s="122"/>
      <c r="L180" s="122"/>
      <c r="M180" s="125">
        <f>SUM(M181+M183+M185)</f>
        <v>54360.6</v>
      </c>
      <c r="N180" s="125">
        <f>SUM(N181+N183+N185)</f>
        <v>-2557.8000000000002</v>
      </c>
      <c r="O180" s="97">
        <f t="shared" si="11"/>
        <v>51802.799999999996</v>
      </c>
      <c r="P180" s="120"/>
      <c r="Q180" s="1"/>
    </row>
    <row r="181" spans="1:17" ht="48" customHeight="1" x14ac:dyDescent="0.25">
      <c r="A181" s="41"/>
      <c r="B181" s="34"/>
      <c r="C181" s="43"/>
      <c r="D181" s="209" t="s">
        <v>458</v>
      </c>
      <c r="E181" s="181"/>
      <c r="F181" s="181"/>
      <c r="G181" s="181"/>
      <c r="H181" s="182"/>
      <c r="I181" s="13"/>
      <c r="J181" s="124" t="s">
        <v>457</v>
      </c>
      <c r="K181" s="124" t="s">
        <v>23</v>
      </c>
      <c r="L181" s="122"/>
      <c r="M181" s="121">
        <f>SUM(M182)</f>
        <v>300</v>
      </c>
      <c r="N181" s="17"/>
      <c r="O181" s="17">
        <f t="shared" si="11"/>
        <v>300</v>
      </c>
      <c r="P181" s="120"/>
      <c r="Q181" s="1"/>
    </row>
    <row r="182" spans="1:17" ht="48" hidden="1" customHeight="1" outlineLevel="1" x14ac:dyDescent="0.25">
      <c r="A182" s="41"/>
      <c r="B182" s="34"/>
      <c r="C182" s="43"/>
      <c r="D182" s="209" t="s">
        <v>459</v>
      </c>
      <c r="E182" s="181"/>
      <c r="F182" s="181"/>
      <c r="G182" s="181"/>
      <c r="H182" s="182"/>
      <c r="I182" s="13"/>
      <c r="J182" s="124" t="s">
        <v>457</v>
      </c>
      <c r="K182" s="124" t="s">
        <v>23</v>
      </c>
      <c r="L182" s="124" t="s">
        <v>13</v>
      </c>
      <c r="M182" s="121">
        <v>300</v>
      </c>
      <c r="N182" s="17"/>
      <c r="O182" s="17">
        <f t="shared" si="11"/>
        <v>300</v>
      </c>
      <c r="P182" s="120"/>
      <c r="Q182" s="1"/>
    </row>
    <row r="183" spans="1:17" ht="88.5" customHeight="1" collapsed="1" x14ac:dyDescent="0.25">
      <c r="A183" s="41"/>
      <c r="B183" s="34"/>
      <c r="C183" s="43"/>
      <c r="D183" s="209" t="s">
        <v>460</v>
      </c>
      <c r="E183" s="181"/>
      <c r="F183" s="181"/>
      <c r="G183" s="181"/>
      <c r="H183" s="182"/>
      <c r="I183" s="13"/>
      <c r="J183" s="124" t="s">
        <v>457</v>
      </c>
      <c r="K183" s="124" t="s">
        <v>18</v>
      </c>
      <c r="L183" s="124" t="s">
        <v>4</v>
      </c>
      <c r="M183" s="121">
        <f>SUM(M184)</f>
        <v>49060.6</v>
      </c>
      <c r="N183" s="121">
        <f>SUM(N184)</f>
        <v>-557.79999999999995</v>
      </c>
      <c r="O183" s="17">
        <f t="shared" si="11"/>
        <v>48502.799999999996</v>
      </c>
      <c r="P183" s="120" t="s">
        <v>670</v>
      </c>
      <c r="Q183" s="1"/>
    </row>
    <row r="184" spans="1:17" ht="83.25" hidden="1" customHeight="1" outlineLevel="1" x14ac:dyDescent="0.25">
      <c r="A184" s="41"/>
      <c r="B184" s="34"/>
      <c r="C184" s="43"/>
      <c r="D184" s="209" t="s">
        <v>461</v>
      </c>
      <c r="E184" s="181"/>
      <c r="F184" s="181"/>
      <c r="G184" s="181"/>
      <c r="H184" s="182"/>
      <c r="I184" s="13"/>
      <c r="J184" s="124" t="s">
        <v>457</v>
      </c>
      <c r="K184" s="124" t="s">
        <v>18</v>
      </c>
      <c r="L184" s="124" t="s">
        <v>13</v>
      </c>
      <c r="M184" s="121">
        <v>49060.6</v>
      </c>
      <c r="N184" s="17">
        <f>134-150-541.8</f>
        <v>-557.79999999999995</v>
      </c>
      <c r="O184" s="17">
        <f t="shared" si="11"/>
        <v>48502.799999999996</v>
      </c>
      <c r="P184" s="133" t="s">
        <v>648</v>
      </c>
      <c r="Q184" s="1"/>
    </row>
    <row r="185" spans="1:17" ht="48" customHeight="1" collapsed="1" x14ac:dyDescent="0.25">
      <c r="A185" s="41"/>
      <c r="B185" s="34"/>
      <c r="C185" s="43"/>
      <c r="D185" s="207" t="s">
        <v>462</v>
      </c>
      <c r="E185" s="160"/>
      <c r="F185" s="160"/>
      <c r="G185" s="160"/>
      <c r="H185" s="161"/>
      <c r="I185" s="13"/>
      <c r="J185" s="124" t="s">
        <v>457</v>
      </c>
      <c r="K185" s="124" t="s">
        <v>27</v>
      </c>
      <c r="L185" s="124" t="s">
        <v>4</v>
      </c>
      <c r="M185" s="121">
        <f>SUM(M186)</f>
        <v>5000</v>
      </c>
      <c r="N185" s="121">
        <f>SUM(N186)</f>
        <v>-2000</v>
      </c>
      <c r="O185" s="17">
        <f t="shared" si="11"/>
        <v>3000</v>
      </c>
      <c r="P185" s="120" t="s">
        <v>671</v>
      </c>
      <c r="Q185" s="1"/>
    </row>
    <row r="186" spans="1:17" ht="48" hidden="1" customHeight="1" outlineLevel="1" x14ac:dyDescent="0.25">
      <c r="A186" s="41"/>
      <c r="B186" s="34"/>
      <c r="C186" s="43"/>
      <c r="D186" s="209" t="s">
        <v>463</v>
      </c>
      <c r="E186" s="181"/>
      <c r="F186" s="181"/>
      <c r="G186" s="181"/>
      <c r="H186" s="182"/>
      <c r="I186" s="13"/>
      <c r="J186" s="124" t="s">
        <v>457</v>
      </c>
      <c r="K186" s="124" t="s">
        <v>27</v>
      </c>
      <c r="L186" s="124" t="s">
        <v>13</v>
      </c>
      <c r="M186" s="121">
        <v>5000</v>
      </c>
      <c r="N186" s="17">
        <f>-2000</f>
        <v>-2000</v>
      </c>
      <c r="O186" s="17">
        <f t="shared" si="11"/>
        <v>3000</v>
      </c>
      <c r="P186" s="120" t="s">
        <v>647</v>
      </c>
      <c r="Q186" s="1"/>
    </row>
    <row r="187" spans="1:17" ht="33.75" customHeight="1" collapsed="1" x14ac:dyDescent="0.25">
      <c r="A187" s="41"/>
      <c r="B187" s="34"/>
      <c r="C187" s="43"/>
      <c r="D187" s="216" t="s">
        <v>464</v>
      </c>
      <c r="E187" s="219"/>
      <c r="F187" s="219"/>
      <c r="G187" s="219"/>
      <c r="H187" s="220"/>
      <c r="I187" s="13"/>
      <c r="J187" s="128" t="s">
        <v>465</v>
      </c>
      <c r="K187" s="128" t="s">
        <v>4</v>
      </c>
      <c r="L187" s="123"/>
      <c r="M187" s="125">
        <f>SUM(M188+M198)</f>
        <v>2789683.6000000006</v>
      </c>
      <c r="N187" s="125">
        <f>SUM(N188+N198)</f>
        <v>-4000.4999999999991</v>
      </c>
      <c r="O187" s="125">
        <f>SUM(O188+O198)</f>
        <v>2785683.1000000006</v>
      </c>
      <c r="P187" s="120"/>
      <c r="Q187" s="1"/>
    </row>
    <row r="188" spans="1:17" ht="114.75" customHeight="1" x14ac:dyDescent="0.25">
      <c r="A188" s="41"/>
      <c r="B188" s="34"/>
      <c r="C188" s="43"/>
      <c r="D188" s="207" t="s">
        <v>466</v>
      </c>
      <c r="E188" s="160"/>
      <c r="F188" s="160"/>
      <c r="G188" s="160"/>
      <c r="H188" s="161"/>
      <c r="I188" s="13"/>
      <c r="J188" s="124" t="s">
        <v>465</v>
      </c>
      <c r="K188" s="124" t="s">
        <v>23</v>
      </c>
      <c r="L188" s="122"/>
      <c r="M188" s="121">
        <f>SUM(M189+M190+M191+M192+M193+M194+M195+M196+M197)</f>
        <v>2780213.9000000004</v>
      </c>
      <c r="N188" s="121">
        <f>SUM(N189+N190+N191+N192+N193+N194+N195+N196+N197)</f>
        <v>-4142.7999999999993</v>
      </c>
      <c r="O188" s="121">
        <f>SUM(O189+O190+O191+O192+O193+O194+O195+O196+O197)</f>
        <v>2776071.1000000006</v>
      </c>
      <c r="P188" s="120" t="s">
        <v>677</v>
      </c>
      <c r="Q188" s="1"/>
    </row>
    <row r="189" spans="1:17" ht="64.5" hidden="1" customHeight="1" outlineLevel="1" x14ac:dyDescent="0.25">
      <c r="A189" s="41"/>
      <c r="B189" s="34"/>
      <c r="C189" s="43"/>
      <c r="D189" s="209" t="s">
        <v>467</v>
      </c>
      <c r="E189" s="181"/>
      <c r="F189" s="181"/>
      <c r="G189" s="181"/>
      <c r="H189" s="182"/>
      <c r="I189" s="13"/>
      <c r="J189" s="124" t="s">
        <v>465</v>
      </c>
      <c r="K189" s="124" t="s">
        <v>23</v>
      </c>
      <c r="L189" s="124" t="s">
        <v>13</v>
      </c>
      <c r="M189" s="126">
        <v>33619.599999999999</v>
      </c>
      <c r="N189" s="17">
        <v>-17.899999999999999</v>
      </c>
      <c r="O189" s="17">
        <f t="shared" si="11"/>
        <v>33601.699999999997</v>
      </c>
      <c r="P189" s="120" t="s">
        <v>623</v>
      </c>
      <c r="Q189" s="1"/>
    </row>
    <row r="190" spans="1:17" ht="72.75" hidden="1" customHeight="1" outlineLevel="1" x14ac:dyDescent="0.25">
      <c r="A190" s="41"/>
      <c r="B190" s="34"/>
      <c r="C190" s="43"/>
      <c r="D190" s="209" t="s">
        <v>468</v>
      </c>
      <c r="E190" s="181"/>
      <c r="F190" s="181"/>
      <c r="G190" s="181"/>
      <c r="H190" s="182"/>
      <c r="I190" s="13"/>
      <c r="J190" s="124" t="s">
        <v>465</v>
      </c>
      <c r="K190" s="124" t="s">
        <v>23</v>
      </c>
      <c r="L190" s="124" t="s">
        <v>11</v>
      </c>
      <c r="M190" s="126">
        <v>2460506.4</v>
      </c>
      <c r="N190" s="17">
        <f>-142.3-8075</f>
        <v>-8217.2999999999993</v>
      </c>
      <c r="O190" s="17">
        <f t="shared" si="11"/>
        <v>2452289.1</v>
      </c>
      <c r="P190" s="120" t="s">
        <v>675</v>
      </c>
      <c r="Q190" s="1"/>
    </row>
    <row r="191" spans="1:17" ht="48" hidden="1" customHeight="1" outlineLevel="1" x14ac:dyDescent="0.25">
      <c r="A191" s="41"/>
      <c r="B191" s="34"/>
      <c r="C191" s="43"/>
      <c r="D191" s="227" t="s">
        <v>469</v>
      </c>
      <c r="E191" s="228"/>
      <c r="F191" s="228"/>
      <c r="G191" s="228"/>
      <c r="H191" s="229"/>
      <c r="I191" s="13"/>
      <c r="J191" s="124" t="s">
        <v>465</v>
      </c>
      <c r="K191" s="124" t="s">
        <v>23</v>
      </c>
      <c r="L191" s="124" t="s">
        <v>26</v>
      </c>
      <c r="M191" s="126">
        <v>38778</v>
      </c>
      <c r="N191" s="17"/>
      <c r="O191" s="17">
        <f t="shared" si="11"/>
        <v>38778</v>
      </c>
      <c r="P191" s="120"/>
      <c r="Q191" s="1"/>
    </row>
    <row r="192" spans="1:17" ht="48" hidden="1" customHeight="1" outlineLevel="1" x14ac:dyDescent="0.25">
      <c r="A192" s="41"/>
      <c r="B192" s="34"/>
      <c r="C192" s="43"/>
      <c r="D192" s="209" t="s">
        <v>470</v>
      </c>
      <c r="E192" s="181"/>
      <c r="F192" s="181"/>
      <c r="G192" s="181"/>
      <c r="H192" s="182"/>
      <c r="I192" s="13"/>
      <c r="J192" s="124" t="s">
        <v>465</v>
      </c>
      <c r="K192" s="124" t="s">
        <v>23</v>
      </c>
      <c r="L192" s="124" t="s">
        <v>10</v>
      </c>
      <c r="M192" s="126">
        <v>15000</v>
      </c>
      <c r="N192" s="17"/>
      <c r="O192" s="17">
        <f t="shared" si="11"/>
        <v>15000</v>
      </c>
      <c r="P192" s="120"/>
      <c r="Q192" s="1"/>
    </row>
    <row r="193" spans="1:18" ht="48" hidden="1" customHeight="1" outlineLevel="1" x14ac:dyDescent="0.25">
      <c r="A193" s="41"/>
      <c r="B193" s="34"/>
      <c r="C193" s="43"/>
      <c r="D193" s="209" t="s">
        <v>471</v>
      </c>
      <c r="E193" s="181"/>
      <c r="F193" s="181"/>
      <c r="G193" s="181"/>
      <c r="H193" s="182"/>
      <c r="I193" s="13"/>
      <c r="J193" s="124" t="s">
        <v>465</v>
      </c>
      <c r="K193" s="124" t="s">
        <v>23</v>
      </c>
      <c r="L193" s="124" t="s">
        <v>7</v>
      </c>
      <c r="M193" s="126">
        <v>2000</v>
      </c>
      <c r="N193" s="17"/>
      <c r="O193" s="17">
        <f t="shared" si="11"/>
        <v>2000</v>
      </c>
      <c r="P193" s="120"/>
      <c r="Q193" s="1"/>
    </row>
    <row r="194" spans="1:18" ht="48" hidden="1" customHeight="1" outlineLevel="1" x14ac:dyDescent="0.25">
      <c r="A194" s="41"/>
      <c r="B194" s="34"/>
      <c r="C194" s="43"/>
      <c r="D194" s="209" t="s">
        <v>472</v>
      </c>
      <c r="E194" s="181"/>
      <c r="F194" s="181"/>
      <c r="G194" s="181"/>
      <c r="H194" s="182"/>
      <c r="I194" s="13"/>
      <c r="J194" s="124" t="s">
        <v>465</v>
      </c>
      <c r="K194" s="124" t="s">
        <v>23</v>
      </c>
      <c r="L194" s="124" t="s">
        <v>5</v>
      </c>
      <c r="M194" s="126">
        <v>14894</v>
      </c>
      <c r="N194" s="17"/>
      <c r="O194" s="17">
        <f t="shared" si="11"/>
        <v>14894</v>
      </c>
      <c r="P194" s="120"/>
      <c r="Q194" s="1"/>
    </row>
    <row r="195" spans="1:18" ht="48" hidden="1" customHeight="1" outlineLevel="1" x14ac:dyDescent="0.25">
      <c r="A195" s="41"/>
      <c r="B195" s="34"/>
      <c r="C195" s="43"/>
      <c r="D195" s="209" t="s">
        <v>473</v>
      </c>
      <c r="E195" s="181"/>
      <c r="F195" s="181"/>
      <c r="G195" s="181"/>
      <c r="H195" s="182"/>
      <c r="I195" s="13"/>
      <c r="J195" s="124" t="s">
        <v>465</v>
      </c>
      <c r="K195" s="124" t="s">
        <v>23</v>
      </c>
      <c r="L195" s="124" t="s">
        <v>1</v>
      </c>
      <c r="M195" s="126">
        <v>177119.7</v>
      </c>
      <c r="N195" s="17"/>
      <c r="O195" s="17">
        <f t="shared" si="11"/>
        <v>177119.7</v>
      </c>
      <c r="P195" s="120"/>
      <c r="Q195" s="1"/>
    </row>
    <row r="196" spans="1:18" ht="78.75" hidden="1" customHeight="1" outlineLevel="1" x14ac:dyDescent="0.25">
      <c r="A196" s="41"/>
      <c r="B196" s="34"/>
      <c r="C196" s="43"/>
      <c r="D196" s="209" t="s">
        <v>474</v>
      </c>
      <c r="E196" s="181"/>
      <c r="F196" s="181"/>
      <c r="G196" s="181"/>
      <c r="H196" s="182"/>
      <c r="I196" s="13"/>
      <c r="J196" s="124" t="s">
        <v>465</v>
      </c>
      <c r="K196" s="124" t="s">
        <v>23</v>
      </c>
      <c r="L196" s="124" t="s">
        <v>134</v>
      </c>
      <c r="M196" s="126">
        <v>36521</v>
      </c>
      <c r="N196" s="17">
        <f>4074.5</f>
        <v>4074.5</v>
      </c>
      <c r="O196" s="17">
        <f t="shared" si="11"/>
        <v>40595.5</v>
      </c>
      <c r="P196" s="120" t="s">
        <v>622</v>
      </c>
      <c r="Q196" s="1"/>
    </row>
    <row r="197" spans="1:18" ht="61.5" hidden="1" customHeight="1" outlineLevel="1" x14ac:dyDescent="0.25">
      <c r="A197" s="41"/>
      <c r="B197" s="34"/>
      <c r="C197" s="43"/>
      <c r="D197" s="209" t="s">
        <v>475</v>
      </c>
      <c r="E197" s="181"/>
      <c r="F197" s="181"/>
      <c r="G197" s="181"/>
      <c r="H197" s="182"/>
      <c r="I197" s="13"/>
      <c r="J197" s="124" t="s">
        <v>465</v>
      </c>
      <c r="K197" s="124" t="s">
        <v>23</v>
      </c>
      <c r="L197" s="124" t="s">
        <v>476</v>
      </c>
      <c r="M197" s="126">
        <v>1775.2</v>
      </c>
      <c r="N197" s="17">
        <v>17.899999999999999</v>
      </c>
      <c r="O197" s="17">
        <f t="shared" si="11"/>
        <v>1793.1000000000001</v>
      </c>
      <c r="P197" s="120" t="s">
        <v>624</v>
      </c>
      <c r="Q197" s="1"/>
    </row>
    <row r="198" spans="1:18" ht="42" customHeight="1" collapsed="1" x14ac:dyDescent="0.25">
      <c r="A198" s="41"/>
      <c r="B198" s="34"/>
      <c r="C198" s="43"/>
      <c r="D198" s="209" t="s">
        <v>477</v>
      </c>
      <c r="E198" s="181"/>
      <c r="F198" s="181"/>
      <c r="G198" s="181"/>
      <c r="H198" s="182"/>
      <c r="I198" s="13"/>
      <c r="J198" s="124" t="s">
        <v>465</v>
      </c>
      <c r="K198" s="124" t="s">
        <v>18</v>
      </c>
      <c r="L198" s="124" t="s">
        <v>4</v>
      </c>
      <c r="M198" s="126">
        <f>SUM(M199+M200+M201+M202)</f>
        <v>9469.7000000000007</v>
      </c>
      <c r="N198" s="126">
        <f>SUM(N199+N200+N201+N202)</f>
        <v>142.29999999999995</v>
      </c>
      <c r="O198" s="126">
        <f>SUM(O199+O200+O201+O202)</f>
        <v>9612</v>
      </c>
      <c r="P198" s="120" t="s">
        <v>676</v>
      </c>
      <c r="Q198" s="1"/>
    </row>
    <row r="199" spans="1:18" ht="49.5" hidden="1" customHeight="1" outlineLevel="2" x14ac:dyDescent="0.25">
      <c r="A199" s="41"/>
      <c r="B199" s="34"/>
      <c r="C199" s="43"/>
      <c r="D199" s="207" t="s">
        <v>478</v>
      </c>
      <c r="E199" s="160"/>
      <c r="F199" s="160"/>
      <c r="G199" s="160"/>
      <c r="H199" s="161"/>
      <c r="I199" s="13"/>
      <c r="J199" s="124" t="s">
        <v>465</v>
      </c>
      <c r="K199" s="124" t="s">
        <v>18</v>
      </c>
      <c r="L199" s="124" t="s">
        <v>13</v>
      </c>
      <c r="M199" s="126">
        <v>4969.7</v>
      </c>
      <c r="N199" s="17">
        <f>35.6+1666.4</f>
        <v>1702</v>
      </c>
      <c r="O199" s="17">
        <f t="shared" si="11"/>
        <v>6671.7</v>
      </c>
      <c r="P199" s="120" t="s">
        <v>627</v>
      </c>
      <c r="Q199" s="1"/>
    </row>
    <row r="200" spans="1:18" ht="40.5" hidden="1" customHeight="1" outlineLevel="2" x14ac:dyDescent="0.25">
      <c r="A200" s="41"/>
      <c r="B200" s="34"/>
      <c r="C200" s="43"/>
      <c r="D200" s="210" t="s">
        <v>484</v>
      </c>
      <c r="E200" s="211"/>
      <c r="F200" s="211"/>
      <c r="G200" s="211"/>
      <c r="H200" s="212"/>
      <c r="I200" s="127" t="s">
        <v>479</v>
      </c>
      <c r="J200" s="124" t="s">
        <v>465</v>
      </c>
      <c r="K200" s="124" t="s">
        <v>18</v>
      </c>
      <c r="L200" s="124" t="s">
        <v>11</v>
      </c>
      <c r="M200" s="126">
        <v>1500</v>
      </c>
      <c r="N200" s="17">
        <v>106.7</v>
      </c>
      <c r="O200" s="17">
        <f t="shared" si="11"/>
        <v>1606.7</v>
      </c>
      <c r="P200" s="120" t="s">
        <v>672</v>
      </c>
      <c r="Q200" s="1"/>
    </row>
    <row r="201" spans="1:18" ht="42" hidden="1" customHeight="1" outlineLevel="2" x14ac:dyDescent="0.25">
      <c r="A201" s="41"/>
      <c r="B201" s="34"/>
      <c r="C201" s="43"/>
      <c r="D201" s="210" t="s">
        <v>483</v>
      </c>
      <c r="E201" s="211"/>
      <c r="F201" s="211"/>
      <c r="G201" s="211"/>
      <c r="H201" s="212"/>
      <c r="I201" s="127" t="s">
        <v>480</v>
      </c>
      <c r="J201" s="124" t="s">
        <v>465</v>
      </c>
      <c r="K201" s="124" t="s">
        <v>18</v>
      </c>
      <c r="L201" s="124" t="s">
        <v>26</v>
      </c>
      <c r="M201" s="126">
        <v>3000</v>
      </c>
      <c r="N201" s="17">
        <v>-1666.4</v>
      </c>
      <c r="O201" s="17">
        <f t="shared" si="11"/>
        <v>1333.6</v>
      </c>
      <c r="P201" s="120" t="s">
        <v>628</v>
      </c>
      <c r="Q201" s="1"/>
    </row>
    <row r="202" spans="1:18" ht="48" hidden="1" customHeight="1" outlineLevel="2" x14ac:dyDescent="0.25">
      <c r="A202" s="41"/>
      <c r="B202" s="34"/>
      <c r="C202" s="43"/>
      <c r="D202" s="210" t="s">
        <v>482</v>
      </c>
      <c r="E202" s="211"/>
      <c r="F202" s="211"/>
      <c r="G202" s="211"/>
      <c r="H202" s="212"/>
      <c r="I202" s="127" t="s">
        <v>481</v>
      </c>
      <c r="J202" s="124" t="s">
        <v>465</v>
      </c>
      <c r="K202" s="124" t="s">
        <v>18</v>
      </c>
      <c r="L202" s="124" t="s">
        <v>5</v>
      </c>
      <c r="M202" s="126">
        <v>0</v>
      </c>
      <c r="N202" s="17"/>
      <c r="O202" s="17">
        <f t="shared" si="11"/>
        <v>0</v>
      </c>
      <c r="P202" s="120"/>
      <c r="Q202" s="1"/>
    </row>
    <row r="203" spans="1:18" ht="58.5" customHeight="1" collapsed="1" thickBot="1" x14ac:dyDescent="0.3">
      <c r="A203" s="41"/>
      <c r="B203" s="34"/>
      <c r="C203" s="43"/>
      <c r="D203" s="213" t="s">
        <v>180</v>
      </c>
      <c r="E203" s="214"/>
      <c r="F203" s="214"/>
      <c r="G203" s="214"/>
      <c r="H203" s="215"/>
      <c r="I203" s="109" t="s">
        <v>15</v>
      </c>
      <c r="J203" s="117" t="s">
        <v>3</v>
      </c>
      <c r="K203" s="117" t="s">
        <v>2</v>
      </c>
      <c r="L203" s="117" t="s">
        <v>4</v>
      </c>
      <c r="M203" s="99">
        <f>M204+M205+M206+M207+M208+M209+M210</f>
        <v>38194.400000000001</v>
      </c>
      <c r="N203" s="99">
        <f>N204+N205+N206+N207+N208+N209+N210</f>
        <v>1589.6</v>
      </c>
      <c r="O203" s="99">
        <f>O204+O205+O206+O207+O208+O209+O210</f>
        <v>39784</v>
      </c>
      <c r="P203" s="120" t="s">
        <v>644</v>
      </c>
      <c r="Q203" s="1"/>
    </row>
    <row r="204" spans="1:18" ht="39" hidden="1" customHeight="1" outlineLevel="1" x14ac:dyDescent="0.25">
      <c r="A204" s="41"/>
      <c r="B204" s="34"/>
      <c r="C204" s="43"/>
      <c r="D204" s="209" t="s">
        <v>282</v>
      </c>
      <c r="E204" s="181"/>
      <c r="F204" s="181"/>
      <c r="G204" s="181"/>
      <c r="H204" s="182"/>
      <c r="I204" s="13" t="s">
        <v>14</v>
      </c>
      <c r="J204" s="5" t="s">
        <v>3</v>
      </c>
      <c r="K204" s="5" t="s">
        <v>2</v>
      </c>
      <c r="L204" s="5" t="s">
        <v>13</v>
      </c>
      <c r="M204" s="126">
        <v>10415.5</v>
      </c>
      <c r="N204" s="17"/>
      <c r="O204" s="17">
        <f t="shared" si="11"/>
        <v>10415.5</v>
      </c>
      <c r="P204" s="120"/>
      <c r="Q204" s="1"/>
      <c r="R204" s="15"/>
    </row>
    <row r="205" spans="1:18" ht="42.75" hidden="1" customHeight="1" outlineLevel="1" x14ac:dyDescent="0.25">
      <c r="A205" s="41"/>
      <c r="B205" s="34"/>
      <c r="C205" s="43"/>
      <c r="D205" s="207" t="s">
        <v>385</v>
      </c>
      <c r="E205" s="160"/>
      <c r="F205" s="160"/>
      <c r="G205" s="160"/>
      <c r="H205" s="161"/>
      <c r="I205" s="13" t="s">
        <v>12</v>
      </c>
      <c r="J205" s="5" t="s">
        <v>3</v>
      </c>
      <c r="K205" s="5" t="s">
        <v>2</v>
      </c>
      <c r="L205" s="5" t="s">
        <v>11</v>
      </c>
      <c r="M205" s="126">
        <v>13927.7</v>
      </c>
      <c r="N205" s="17"/>
      <c r="O205" s="17">
        <f t="shared" si="11"/>
        <v>13927.7</v>
      </c>
      <c r="P205" s="8"/>
      <c r="Q205" s="1"/>
    </row>
    <row r="206" spans="1:18" ht="27.75" hidden="1" customHeight="1" outlineLevel="1" x14ac:dyDescent="0.25">
      <c r="A206" s="41"/>
      <c r="B206" s="34"/>
      <c r="C206" s="43"/>
      <c r="D206" s="209" t="s">
        <v>285</v>
      </c>
      <c r="E206" s="181"/>
      <c r="F206" s="181"/>
      <c r="G206" s="181"/>
      <c r="H206" s="182"/>
      <c r="I206" s="13" t="s">
        <v>9</v>
      </c>
      <c r="J206" s="5" t="s">
        <v>3</v>
      </c>
      <c r="K206" s="5" t="s">
        <v>2</v>
      </c>
      <c r="L206" s="5" t="s">
        <v>10</v>
      </c>
      <c r="M206" s="126">
        <v>1500</v>
      </c>
      <c r="N206" s="17"/>
      <c r="O206" s="17">
        <f t="shared" si="11"/>
        <v>1500</v>
      </c>
      <c r="P206" s="8"/>
      <c r="Q206" s="1"/>
    </row>
    <row r="207" spans="1:18" ht="42.75" hidden="1" customHeight="1" outlineLevel="1" x14ac:dyDescent="0.25">
      <c r="A207" s="41"/>
      <c r="B207" s="34"/>
      <c r="C207" s="43"/>
      <c r="D207" s="207" t="s">
        <v>283</v>
      </c>
      <c r="E207" s="160"/>
      <c r="F207" s="160"/>
      <c r="G207" s="160"/>
      <c r="H207" s="161"/>
      <c r="I207" s="13" t="s">
        <v>8</v>
      </c>
      <c r="J207" s="5" t="s">
        <v>3</v>
      </c>
      <c r="K207" s="5" t="s">
        <v>2</v>
      </c>
      <c r="L207" s="5" t="s">
        <v>7</v>
      </c>
      <c r="M207" s="126">
        <v>300</v>
      </c>
      <c r="N207" s="17">
        <f>20+111.6+75+1383</f>
        <v>1589.6</v>
      </c>
      <c r="O207" s="17">
        <f t="shared" si="11"/>
        <v>1889.6</v>
      </c>
      <c r="P207" s="120" t="s">
        <v>644</v>
      </c>
      <c r="Q207" s="1"/>
    </row>
    <row r="208" spans="1:18" ht="40.5" hidden="1" customHeight="1" outlineLevel="1" x14ac:dyDescent="0.25">
      <c r="A208" s="41"/>
      <c r="B208" s="34"/>
      <c r="C208" s="43"/>
      <c r="D208" s="209" t="s">
        <v>271</v>
      </c>
      <c r="E208" s="181"/>
      <c r="F208" s="181"/>
      <c r="G208" s="181"/>
      <c r="H208" s="182"/>
      <c r="I208" s="13" t="s">
        <v>6</v>
      </c>
      <c r="J208" s="5" t="s">
        <v>3</v>
      </c>
      <c r="K208" s="5" t="s">
        <v>2</v>
      </c>
      <c r="L208" s="5" t="s">
        <v>5</v>
      </c>
      <c r="M208" s="126">
        <v>12051.2</v>
      </c>
      <c r="N208" s="17"/>
      <c r="O208" s="16">
        <f>SUM(M208:N208)</f>
        <v>12051.2</v>
      </c>
      <c r="P208" s="8"/>
      <c r="Q208" s="1"/>
    </row>
    <row r="209" spans="1:17" ht="29.25" hidden="1" customHeight="1" outlineLevel="1" x14ac:dyDescent="0.25">
      <c r="A209" s="41"/>
      <c r="B209" s="34"/>
      <c r="C209" s="43"/>
      <c r="D209" s="207" t="s">
        <v>486</v>
      </c>
      <c r="E209" s="160"/>
      <c r="F209" s="160"/>
      <c r="G209" s="160"/>
      <c r="H209" s="161"/>
      <c r="I209" s="14" t="s">
        <v>0</v>
      </c>
      <c r="J209" s="6" t="s">
        <v>3</v>
      </c>
      <c r="K209" s="6" t="s">
        <v>2</v>
      </c>
      <c r="L209" s="6" t="s">
        <v>1</v>
      </c>
      <c r="M209" s="16">
        <v>0</v>
      </c>
      <c r="N209" s="16"/>
      <c r="O209" s="17">
        <f t="shared" si="11"/>
        <v>0</v>
      </c>
      <c r="P209" s="8"/>
      <c r="Q209" s="1"/>
    </row>
    <row r="210" spans="1:17" ht="35.25" hidden="1" customHeight="1" outlineLevel="1" thickBot="1" x14ac:dyDescent="0.3">
      <c r="A210" s="10"/>
      <c r="B210" s="11"/>
      <c r="C210" s="43"/>
      <c r="D210" s="221" t="s">
        <v>485</v>
      </c>
      <c r="E210" s="222"/>
      <c r="F210" s="222"/>
      <c r="G210" s="222"/>
      <c r="H210" s="223"/>
      <c r="I210" s="23"/>
      <c r="J210" s="24" t="s">
        <v>3</v>
      </c>
      <c r="K210" s="24" t="s">
        <v>2</v>
      </c>
      <c r="L210" s="24" t="s">
        <v>296</v>
      </c>
      <c r="M210" s="25">
        <v>0</v>
      </c>
      <c r="N210" s="25"/>
      <c r="O210" s="26">
        <f t="shared" si="11"/>
        <v>0</v>
      </c>
      <c r="P210" s="137"/>
      <c r="Q210" s="1"/>
    </row>
    <row r="211" spans="1:17" ht="25.5" customHeight="1" collapsed="1" thickBot="1" x14ac:dyDescent="0.3">
      <c r="A211" s="10"/>
      <c r="B211" s="11"/>
      <c r="C211" s="1"/>
      <c r="D211" s="224" t="s">
        <v>181</v>
      </c>
      <c r="E211" s="225"/>
      <c r="F211" s="225"/>
      <c r="G211" s="225"/>
      <c r="H211" s="225"/>
      <c r="I211" s="225"/>
      <c r="J211" s="225"/>
      <c r="K211" s="225"/>
      <c r="L211" s="226"/>
      <c r="M211" s="129">
        <f>(M9+M17+M22+M29+M41+M46+M59+M61+M63+M77+M82+M95+M100+M109+M126+M128+M131+M141+M153+M155+M166+M180+M187+M203)</f>
        <v>6516868.6000000006</v>
      </c>
      <c r="N211" s="129">
        <f>(N9+N17+N22+N29+N41+N46+N59+N61+N63+N77+N82+N95+N100+N109+N126+N128+N131+N141+N153+N155+N166+N180+N187+N203)</f>
        <v>24606.5</v>
      </c>
      <c r="O211" s="129">
        <f>(O9+O17+O22+O29+O41+O46+O59+O61+O63+O77+O82+O95+O100+O109+O126+O128+O131+O141+O153+O155+O166+O180+O187+O203)</f>
        <v>6541475.0999999996</v>
      </c>
      <c r="P211" s="118"/>
      <c r="Q211" s="1"/>
    </row>
    <row r="212" spans="1:17" ht="12.75" hidden="1" customHeight="1" x14ac:dyDescent="0.25">
      <c r="A212" s="1"/>
      <c r="B212" s="1"/>
      <c r="C212" s="1"/>
      <c r="D212" s="1"/>
      <c r="E212" s="1"/>
      <c r="F212" s="1" t="s">
        <v>291</v>
      </c>
      <c r="G212" s="1"/>
      <c r="H212" s="1"/>
      <c r="I212" s="1"/>
      <c r="J212" s="1"/>
      <c r="K212" s="1"/>
      <c r="L212" s="1"/>
      <c r="M212" s="48"/>
      <c r="N212" s="48"/>
      <c r="O212" s="48"/>
      <c r="P212" s="1"/>
      <c r="Q212" s="1"/>
    </row>
    <row r="213" spans="1:17" hidden="1" x14ac:dyDescent="0.25"/>
    <row r="214" spans="1:17" hidden="1" x14ac:dyDescent="0.25"/>
    <row r="215" spans="1:17" hidden="1" x14ac:dyDescent="0.25">
      <c r="M215" s="40"/>
    </row>
    <row r="217" spans="1:17" x14ac:dyDescent="0.25">
      <c r="O217" s="40"/>
    </row>
    <row r="219" spans="1:17" x14ac:dyDescent="0.25">
      <c r="N219" s="40"/>
    </row>
  </sheetData>
  <mergeCells count="210">
    <mergeCell ref="D64:H64"/>
    <mergeCell ref="D57:H57"/>
    <mergeCell ref="D59:H59"/>
    <mergeCell ref="D47:H47"/>
    <mergeCell ref="D48:H48"/>
    <mergeCell ref="D49:H49"/>
    <mergeCell ref="D50:H50"/>
    <mergeCell ref="D51:H51"/>
    <mergeCell ref="D52:H52"/>
    <mergeCell ref="D54:H54"/>
    <mergeCell ref="D55:H55"/>
    <mergeCell ref="D63:H63"/>
    <mergeCell ref="D14:H14"/>
    <mergeCell ref="D17:H17"/>
    <mergeCell ref="P5:P7"/>
    <mergeCell ref="D9:H9"/>
    <mergeCell ref="D10:H10"/>
    <mergeCell ref="D12:H12"/>
    <mergeCell ref="D5:H7"/>
    <mergeCell ref="I5:I7"/>
    <mergeCell ref="J5:L7"/>
    <mergeCell ref="M5:M7"/>
    <mergeCell ref="N5:N7"/>
    <mergeCell ref="O5:O7"/>
    <mergeCell ref="D11:H11"/>
    <mergeCell ref="D13:H13"/>
    <mergeCell ref="D15:H15"/>
    <mergeCell ref="D16:H16"/>
    <mergeCell ref="D18:H18"/>
    <mergeCell ref="D29:H29"/>
    <mergeCell ref="D30:H30"/>
    <mergeCell ref="D22:H22"/>
    <mergeCell ref="D39:H39"/>
    <mergeCell ref="D41:H41"/>
    <mergeCell ref="D42:H42"/>
    <mergeCell ref="D35:H35"/>
    <mergeCell ref="D19:H19"/>
    <mergeCell ref="D20:H20"/>
    <mergeCell ref="D21:H21"/>
    <mergeCell ref="D23:H23"/>
    <mergeCell ref="D24:H24"/>
    <mergeCell ref="D26:H26"/>
    <mergeCell ref="D27:H27"/>
    <mergeCell ref="D28:H28"/>
    <mergeCell ref="D31:H31"/>
    <mergeCell ref="D32:H32"/>
    <mergeCell ref="D33:H33"/>
    <mergeCell ref="D34:H34"/>
    <mergeCell ref="D36:H36"/>
    <mergeCell ref="D37:H37"/>
    <mergeCell ref="D38:H38"/>
    <mergeCell ref="D40:H40"/>
    <mergeCell ref="D25:H25"/>
    <mergeCell ref="D61:H61"/>
    <mergeCell ref="D77:H77"/>
    <mergeCell ref="D69:H69"/>
    <mergeCell ref="D71:H71"/>
    <mergeCell ref="D73:H73"/>
    <mergeCell ref="D74:I74"/>
    <mergeCell ref="D75:H75"/>
    <mergeCell ref="D76:H76"/>
    <mergeCell ref="D67:H67"/>
    <mergeCell ref="D68:H68"/>
    <mergeCell ref="D70:H70"/>
    <mergeCell ref="D72:H72"/>
    <mergeCell ref="D43:H43"/>
    <mergeCell ref="D45:H45"/>
    <mergeCell ref="D56:H56"/>
    <mergeCell ref="D58:H58"/>
    <mergeCell ref="D62:H62"/>
    <mergeCell ref="D60:H60"/>
    <mergeCell ref="D65:H65"/>
    <mergeCell ref="D66:H66"/>
    <mergeCell ref="D53:H53"/>
    <mergeCell ref="D44:H44"/>
    <mergeCell ref="D46:H46"/>
    <mergeCell ref="D78:H78"/>
    <mergeCell ref="D79:H79"/>
    <mergeCell ref="D88:H88"/>
    <mergeCell ref="D82:H82"/>
    <mergeCell ref="D83:H83"/>
    <mergeCell ref="D85:H85"/>
    <mergeCell ref="D100:H100"/>
    <mergeCell ref="D101:H101"/>
    <mergeCell ref="D93:H93"/>
    <mergeCell ref="D95:H95"/>
    <mergeCell ref="D96:H96"/>
    <mergeCell ref="D97:H97"/>
    <mergeCell ref="D98:H98"/>
    <mergeCell ref="D99:H99"/>
    <mergeCell ref="D80:H80"/>
    <mergeCell ref="D84:H84"/>
    <mergeCell ref="D86:H86"/>
    <mergeCell ref="D87:H87"/>
    <mergeCell ref="D89:H89"/>
    <mergeCell ref="D90:H90"/>
    <mergeCell ref="D91:H91"/>
    <mergeCell ref="D92:H92"/>
    <mergeCell ref="D94:H94"/>
    <mergeCell ref="D81:H81"/>
    <mergeCell ref="D102:H102"/>
    <mergeCell ref="D103:H103"/>
    <mergeCell ref="D104:H104"/>
    <mergeCell ref="D115:H115"/>
    <mergeCell ref="D105:H105"/>
    <mergeCell ref="D107:H107"/>
    <mergeCell ref="D109:H109"/>
    <mergeCell ref="D110:H110"/>
    <mergeCell ref="D106:H106"/>
    <mergeCell ref="D108:H108"/>
    <mergeCell ref="D111:H111"/>
    <mergeCell ref="D112:H112"/>
    <mergeCell ref="D113:H113"/>
    <mergeCell ref="D114:H114"/>
    <mergeCell ref="D156:H156"/>
    <mergeCell ref="D116:H116"/>
    <mergeCell ref="D124:H124"/>
    <mergeCell ref="D126:H126"/>
    <mergeCell ref="D128:H128"/>
    <mergeCell ref="D120:H120"/>
    <mergeCell ref="D122:H122"/>
    <mergeCell ref="D137:H137"/>
    <mergeCell ref="D131:H131"/>
    <mergeCell ref="D132:H132"/>
    <mergeCell ref="D134:H134"/>
    <mergeCell ref="D135:H135"/>
    <mergeCell ref="D136:H136"/>
    <mergeCell ref="D117:H117"/>
    <mergeCell ref="D118:H118"/>
    <mergeCell ref="D119:H119"/>
    <mergeCell ref="D123:H123"/>
    <mergeCell ref="D125:H125"/>
    <mergeCell ref="D127:H127"/>
    <mergeCell ref="D129:H129"/>
    <mergeCell ref="D130:H130"/>
    <mergeCell ref="D133:H133"/>
    <mergeCell ref="D121:H121"/>
    <mergeCell ref="D138:H138"/>
    <mergeCell ref="D139:H139"/>
    <mergeCell ref="D140:H140"/>
    <mergeCell ref="D153:H153"/>
    <mergeCell ref="D155:H155"/>
    <mergeCell ref="D148:H148"/>
    <mergeCell ref="D150:H150"/>
    <mergeCell ref="D141:H141"/>
    <mergeCell ref="D142:H142"/>
    <mergeCell ref="D143:H143"/>
    <mergeCell ref="D144:H144"/>
    <mergeCell ref="D145:H145"/>
    <mergeCell ref="D146:H146"/>
    <mergeCell ref="D147:H147"/>
    <mergeCell ref="D149:H149"/>
    <mergeCell ref="D151:H151"/>
    <mergeCell ref="D152:H152"/>
    <mergeCell ref="D154:H154"/>
    <mergeCell ref="D205:H205"/>
    <mergeCell ref="D206:H206"/>
    <mergeCell ref="D207:H207"/>
    <mergeCell ref="D208:H208"/>
    <mergeCell ref="D209:H209"/>
    <mergeCell ref="D210:H210"/>
    <mergeCell ref="D211:L211"/>
    <mergeCell ref="D178:H178"/>
    <mergeCell ref="D179:H179"/>
    <mergeCell ref="D181:H181"/>
    <mergeCell ref="D180:H180"/>
    <mergeCell ref="D191:H191"/>
    <mergeCell ref="D192:H192"/>
    <mergeCell ref="D182:H182"/>
    <mergeCell ref="D183:H183"/>
    <mergeCell ref="D193:H193"/>
    <mergeCell ref="D194:H194"/>
    <mergeCell ref="D195:H195"/>
    <mergeCell ref="D196:H196"/>
    <mergeCell ref="D197:H197"/>
    <mergeCell ref="D188:H188"/>
    <mergeCell ref="D186:H186"/>
    <mergeCell ref="D185:H185"/>
    <mergeCell ref="D184:H184"/>
    <mergeCell ref="D204:H204"/>
    <mergeCell ref="D162:H162"/>
    <mergeCell ref="D166:H166"/>
    <mergeCell ref="D167:H167"/>
    <mergeCell ref="D168:H168"/>
    <mergeCell ref="D169:H169"/>
    <mergeCell ref="D170:H170"/>
    <mergeCell ref="D171:H171"/>
    <mergeCell ref="D172:H172"/>
    <mergeCell ref="D173:H173"/>
    <mergeCell ref="D174:H174"/>
    <mergeCell ref="D176:H176"/>
    <mergeCell ref="D177:H177"/>
    <mergeCell ref="D175:H175"/>
    <mergeCell ref="D163:H163"/>
    <mergeCell ref="D164:H164"/>
    <mergeCell ref="D165:H165"/>
    <mergeCell ref="D189:H189"/>
    <mergeCell ref="D190:H190"/>
    <mergeCell ref="D187:H187"/>
    <mergeCell ref="D157:H157"/>
    <mergeCell ref="D158:H158"/>
    <mergeCell ref="D160:H160"/>
    <mergeCell ref="D198:H198"/>
    <mergeCell ref="D199:H199"/>
    <mergeCell ref="D200:H200"/>
    <mergeCell ref="D201:H201"/>
    <mergeCell ref="D202:H202"/>
    <mergeCell ref="D203:H203"/>
    <mergeCell ref="D159:H159"/>
    <mergeCell ref="D161:H161"/>
  </mergeCells>
  <pageMargins left="0.78740157480314965" right="0.39370078740157483" top="0.98425196850393704" bottom="0" header="0.51181102362204722" footer="0.23622047244094491"/>
  <pageSetup paperSize="8" scale="49" fitToHeight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приложение (2)</vt:lpstr>
      <vt:lpstr>приложение!Заголовки_для_печати</vt:lpstr>
      <vt:lpstr>'приложение (2)'!Заголовки_для_печати</vt:lpstr>
      <vt:lpstr>приложение!Область_печати</vt:lpstr>
      <vt:lpstr>'приложение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Елена Рянская</cp:lastModifiedBy>
  <cp:lastPrinted>2023-02-11T11:06:19Z</cp:lastPrinted>
  <dcterms:created xsi:type="dcterms:W3CDTF">2020-01-24T05:18:11Z</dcterms:created>
  <dcterms:modified xsi:type="dcterms:W3CDTF">2024-01-03T16:34:56Z</dcterms:modified>
</cp:coreProperties>
</file>