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даты\уточнение_от13122022-в-РД137\"/>
    </mc:Choice>
  </mc:AlternateContent>
  <bookViews>
    <workbookView xWindow="0" yWindow="0" windowWidth="18660" windowHeight="10788" firstSheet="1" activeTab="1"/>
  </bookViews>
  <sheets>
    <sheet name="приложение" sheetId="2" state="hidden" r:id="rId1"/>
    <sheet name="приложение (2)" sheetId="3" r:id="rId2"/>
  </sheets>
  <definedNames>
    <definedName name="_xlnm.Print_Titles" localSheetId="0">приложение!$5:$7</definedName>
    <definedName name="_xlnm.Print_Titles" localSheetId="1">'приложение (2)'!$5:$7</definedName>
    <definedName name="_xlnm.Print_Area" localSheetId="0">приложение!$D$1:$W$210</definedName>
    <definedName name="_xlnm.Print_Area" localSheetId="1">'приложение (2)'!$A$1:$Y$210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4" i="3" l="1"/>
  <c r="W185" i="3" l="1"/>
  <c r="W179" i="3"/>
  <c r="W96" i="3" l="1"/>
  <c r="W155" i="3" l="1"/>
  <c r="W58" i="3" l="1"/>
  <c r="W79" i="3" l="1"/>
  <c r="W88" i="3"/>
  <c r="W12" i="3" l="1"/>
  <c r="W202" i="3" l="1"/>
  <c r="W197" i="3"/>
  <c r="W189" i="3"/>
  <c r="W178" i="3"/>
  <c r="W173" i="3"/>
  <c r="W162" i="3"/>
  <c r="W177" i="3" l="1"/>
  <c r="X177" i="3" s="1"/>
  <c r="W152" i="3"/>
  <c r="W10" i="3"/>
  <c r="X12" i="3"/>
  <c r="W14" i="3"/>
  <c r="X14" i="3" s="1"/>
  <c r="W23" i="3"/>
  <c r="W26" i="3"/>
  <c r="X26" i="3" s="1"/>
  <c r="W30" i="3"/>
  <c r="W35" i="3"/>
  <c r="X35" i="3" s="1"/>
  <c r="W39" i="3"/>
  <c r="X39" i="3" s="1"/>
  <c r="W42" i="3"/>
  <c r="X42" i="3" s="1"/>
  <c r="W44" i="3"/>
  <c r="W47" i="3"/>
  <c r="X47" i="3" s="1"/>
  <c r="W53" i="3"/>
  <c r="X53" i="3" s="1"/>
  <c r="W57" i="3"/>
  <c r="X57" i="3" s="1"/>
  <c r="W59" i="3"/>
  <c r="X59" i="3" s="1"/>
  <c r="W64" i="3"/>
  <c r="X64" i="3" s="1"/>
  <c r="W69" i="3"/>
  <c r="X69" i="3" s="1"/>
  <c r="W74" i="3"/>
  <c r="X74" i="3" s="1"/>
  <c r="W82" i="3"/>
  <c r="W84" i="3"/>
  <c r="X84" i="3" s="1"/>
  <c r="W87" i="3"/>
  <c r="X87" i="3" s="1"/>
  <c r="W92" i="3"/>
  <c r="X92" i="3" s="1"/>
  <c r="W94" i="3"/>
  <c r="X94" i="3" s="1"/>
  <c r="W100" i="3"/>
  <c r="W99" i="3" s="1"/>
  <c r="X99" i="3" s="1"/>
  <c r="W104" i="3"/>
  <c r="W109" i="3"/>
  <c r="X109" i="3" s="1"/>
  <c r="W114" i="3"/>
  <c r="X114" i="3" s="1"/>
  <c r="W119" i="3"/>
  <c r="X119" i="3" s="1"/>
  <c r="W121" i="3"/>
  <c r="W123" i="3"/>
  <c r="X123" i="3" s="1"/>
  <c r="W125" i="3"/>
  <c r="X125" i="3" s="1"/>
  <c r="W127" i="3"/>
  <c r="X127" i="3" s="1"/>
  <c r="W131" i="3"/>
  <c r="X131" i="3" s="1"/>
  <c r="W136" i="3"/>
  <c r="X136" i="3" s="1"/>
  <c r="W141" i="3"/>
  <c r="X141" i="3" s="1"/>
  <c r="W146" i="3"/>
  <c r="X146" i="3" s="1"/>
  <c r="W148" i="3"/>
  <c r="X148" i="3" s="1"/>
  <c r="W77" i="3"/>
  <c r="X77" i="3" s="1"/>
  <c r="W61" i="3"/>
  <c r="X61" i="3" s="1"/>
  <c r="W17" i="3"/>
  <c r="X17" i="3" s="1"/>
  <c r="V46" i="3"/>
  <c r="X203" i="3"/>
  <c r="X204" i="3"/>
  <c r="X205" i="3"/>
  <c r="X206" i="3"/>
  <c r="X207" i="3"/>
  <c r="X208" i="3"/>
  <c r="X209" i="3"/>
  <c r="X11" i="3"/>
  <c r="X13" i="3"/>
  <c r="X15" i="3"/>
  <c r="X16" i="3"/>
  <c r="X18" i="3"/>
  <c r="X19" i="3"/>
  <c r="X20" i="3"/>
  <c r="X21" i="3"/>
  <c r="X24" i="3"/>
  <c r="X25" i="3"/>
  <c r="X27" i="3"/>
  <c r="X28" i="3"/>
  <c r="X30" i="3"/>
  <c r="X31" i="3"/>
  <c r="X32" i="3"/>
  <c r="X33" i="3"/>
  <c r="X34" i="3"/>
  <c r="X36" i="3"/>
  <c r="X37" i="3"/>
  <c r="X38" i="3"/>
  <c r="X40" i="3"/>
  <c r="X43" i="3"/>
  <c r="X45" i="3"/>
  <c r="X48" i="3"/>
  <c r="X49" i="3"/>
  <c r="X50" i="3"/>
  <c r="X51" i="3"/>
  <c r="X52" i="3"/>
  <c r="X54" i="3"/>
  <c r="X55" i="3"/>
  <c r="X56" i="3"/>
  <c r="X58" i="3"/>
  <c r="X60" i="3"/>
  <c r="X62" i="3"/>
  <c r="X65" i="3"/>
  <c r="X66" i="3"/>
  <c r="X67" i="3"/>
  <c r="X68" i="3"/>
  <c r="X70" i="3"/>
  <c r="X71" i="3"/>
  <c r="X72" i="3"/>
  <c r="X73" i="3"/>
  <c r="X75" i="3"/>
  <c r="X76" i="3"/>
  <c r="X78" i="3"/>
  <c r="X79" i="3"/>
  <c r="X80" i="3"/>
  <c r="X82" i="3"/>
  <c r="X83" i="3"/>
  <c r="X85" i="3"/>
  <c r="X86" i="3"/>
  <c r="X88" i="3"/>
  <c r="X89" i="3"/>
  <c r="X90" i="3"/>
  <c r="X91" i="3"/>
  <c r="X93" i="3"/>
  <c r="X95" i="3"/>
  <c r="X96" i="3"/>
  <c r="X97" i="3"/>
  <c r="X98" i="3"/>
  <c r="X100" i="3"/>
  <c r="X101" i="3"/>
  <c r="X102" i="3"/>
  <c r="X103" i="3"/>
  <c r="X104" i="3"/>
  <c r="X105" i="3"/>
  <c r="X106" i="3"/>
  <c r="X107" i="3"/>
  <c r="X110" i="3"/>
  <c r="X111" i="3"/>
  <c r="X112" i="3"/>
  <c r="X113" i="3"/>
  <c r="X115" i="3"/>
  <c r="X116" i="3"/>
  <c r="X117" i="3"/>
  <c r="X118" i="3"/>
  <c r="X120" i="3"/>
  <c r="X121" i="3"/>
  <c r="X122" i="3"/>
  <c r="X124" i="3"/>
  <c r="X126" i="3"/>
  <c r="X128" i="3"/>
  <c r="X129" i="3"/>
  <c r="X132" i="3"/>
  <c r="X133" i="3"/>
  <c r="X134" i="3"/>
  <c r="X135" i="3"/>
  <c r="X137" i="3"/>
  <c r="X138" i="3"/>
  <c r="X139" i="3"/>
  <c r="X142" i="3"/>
  <c r="X143" i="3"/>
  <c r="X144" i="3"/>
  <c r="X145" i="3"/>
  <c r="X147" i="3"/>
  <c r="X149" i="3"/>
  <c r="X150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W81" i="3" l="1"/>
  <c r="X81" i="3" s="1"/>
  <c r="W63" i="3"/>
  <c r="X63" i="3" s="1"/>
  <c r="W130" i="3"/>
  <c r="X130" i="3" s="1"/>
  <c r="W108" i="3"/>
  <c r="X108" i="3" s="1"/>
  <c r="W140" i="3"/>
  <c r="X140" i="3" s="1"/>
  <c r="W9" i="3"/>
  <c r="X9" i="3" s="1"/>
  <c r="W22" i="3"/>
  <c r="X22" i="3" s="1"/>
  <c r="X152" i="3"/>
  <c r="W151" i="3"/>
  <c r="X151" i="3" s="1"/>
  <c r="X10" i="3"/>
  <c r="X23" i="3"/>
  <c r="W29" i="3"/>
  <c r="X29" i="3" s="1"/>
  <c r="W41" i="3"/>
  <c r="X41" i="3" s="1"/>
  <c r="X44" i="3"/>
  <c r="W46" i="3"/>
  <c r="X46" i="3"/>
  <c r="U209" i="3"/>
  <c r="R209" i="3"/>
  <c r="O209" i="3"/>
  <c r="U208" i="3"/>
  <c r="R208" i="3"/>
  <c r="O208" i="3"/>
  <c r="T207" i="3"/>
  <c r="U207" i="3" s="1"/>
  <c r="Q207" i="3"/>
  <c r="R207" i="3" s="1"/>
  <c r="O207" i="3"/>
  <c r="T206" i="3"/>
  <c r="U206" i="3" s="1"/>
  <c r="Q206" i="3"/>
  <c r="R206" i="3" s="1"/>
  <c r="N206" i="3"/>
  <c r="O206" i="3" s="1"/>
  <c r="U205" i="3"/>
  <c r="R205" i="3"/>
  <c r="O205" i="3"/>
  <c r="U204" i="3"/>
  <c r="R204" i="3"/>
  <c r="O204" i="3"/>
  <c r="T203" i="3"/>
  <c r="U203" i="3" s="1"/>
  <c r="R203" i="3"/>
  <c r="O203" i="3"/>
  <c r="M202" i="3"/>
  <c r="U201" i="3"/>
  <c r="Q201" i="3"/>
  <c r="R201" i="3" s="1"/>
  <c r="N201" i="3"/>
  <c r="O201" i="3" s="1"/>
  <c r="U200" i="3"/>
  <c r="R200" i="3"/>
  <c r="O200" i="3"/>
  <c r="U199" i="3"/>
  <c r="R199" i="3"/>
  <c r="O199" i="3"/>
  <c r="U198" i="3"/>
  <c r="Q198" i="3"/>
  <c r="R198" i="3" s="1"/>
  <c r="O198" i="3"/>
  <c r="T197" i="3"/>
  <c r="U197" i="3" s="1"/>
  <c r="N197" i="3"/>
  <c r="M197" i="3"/>
  <c r="U195" i="3"/>
  <c r="U194" i="3"/>
  <c r="R194" i="3"/>
  <c r="O194" i="3"/>
  <c r="U193" i="3"/>
  <c r="R193" i="3"/>
  <c r="O193" i="3"/>
  <c r="U192" i="3"/>
  <c r="R192" i="3"/>
  <c r="O192" i="3"/>
  <c r="U191" i="3"/>
  <c r="R191" i="3"/>
  <c r="O191" i="3"/>
  <c r="U190" i="3"/>
  <c r="R190" i="3"/>
  <c r="O190" i="3"/>
  <c r="T189" i="3"/>
  <c r="U189" i="3" s="1"/>
  <c r="Q189" i="3"/>
  <c r="R189" i="3" s="1"/>
  <c r="N189" i="3"/>
  <c r="N188" i="3" s="1"/>
  <c r="M189" i="3"/>
  <c r="U187" i="3"/>
  <c r="R187" i="3"/>
  <c r="O187" i="3"/>
  <c r="T186" i="3"/>
  <c r="U186" i="3" s="1"/>
  <c r="Q186" i="3"/>
  <c r="R186" i="3" s="1"/>
  <c r="O186" i="3"/>
  <c r="T185" i="3"/>
  <c r="U185" i="3" s="1"/>
  <c r="Q185" i="3"/>
  <c r="R185" i="3" s="1"/>
  <c r="O185" i="3"/>
  <c r="N184" i="3"/>
  <c r="M184" i="3"/>
  <c r="U183" i="3"/>
  <c r="R183" i="3"/>
  <c r="O183" i="3"/>
  <c r="T182" i="3"/>
  <c r="U182" i="3" s="1"/>
  <c r="Q182" i="3"/>
  <c r="R182" i="3" s="1"/>
  <c r="N182" i="3"/>
  <c r="M182" i="3"/>
  <c r="U181" i="3"/>
  <c r="R181" i="3"/>
  <c r="O181" i="3"/>
  <c r="U180" i="3"/>
  <c r="R180" i="3"/>
  <c r="O180" i="3"/>
  <c r="T179" i="3"/>
  <c r="T178" i="3" s="1"/>
  <c r="U178" i="3" s="1"/>
  <c r="Q179" i="3"/>
  <c r="Q178" i="3" s="1"/>
  <c r="P179" i="3"/>
  <c r="O179" i="3"/>
  <c r="N178" i="3"/>
  <c r="M178" i="3"/>
  <c r="U176" i="3"/>
  <c r="R176" i="3"/>
  <c r="R175" i="3" s="1"/>
  <c r="O176" i="3"/>
  <c r="O175" i="3" s="1"/>
  <c r="T175" i="3"/>
  <c r="U175" i="3" s="1"/>
  <c r="Q175" i="3"/>
  <c r="N175" i="3"/>
  <c r="M175" i="3"/>
  <c r="U174" i="3"/>
  <c r="R174" i="3"/>
  <c r="O174" i="3"/>
  <c r="T173" i="3"/>
  <c r="U173" i="3" s="1"/>
  <c r="Q173" i="3"/>
  <c r="R173" i="3" s="1"/>
  <c r="N173" i="3"/>
  <c r="M173" i="3"/>
  <c r="O173" i="3" s="1"/>
  <c r="U172" i="3"/>
  <c r="R172" i="3"/>
  <c r="O172" i="3"/>
  <c r="T171" i="3"/>
  <c r="Q171" i="3"/>
  <c r="R171" i="3" s="1"/>
  <c r="O171" i="3"/>
  <c r="U170" i="3"/>
  <c r="R170" i="3"/>
  <c r="N170" i="3"/>
  <c r="O170" i="3" s="1"/>
  <c r="M169" i="3"/>
  <c r="U168" i="3"/>
  <c r="R168" i="3"/>
  <c r="O168" i="3"/>
  <c r="U167" i="3"/>
  <c r="R167" i="3"/>
  <c r="O167" i="3"/>
  <c r="U166" i="3"/>
  <c r="R166" i="3"/>
  <c r="O166" i="3"/>
  <c r="U165" i="3"/>
  <c r="R165" i="3"/>
  <c r="N165" i="3"/>
  <c r="O165" i="3" s="1"/>
  <c r="U164" i="3"/>
  <c r="R164" i="3"/>
  <c r="O164" i="3"/>
  <c r="T163" i="3"/>
  <c r="Q163" i="3"/>
  <c r="R163" i="3" s="1"/>
  <c r="N163" i="3"/>
  <c r="M162" i="3"/>
  <c r="U161" i="3"/>
  <c r="R161" i="3"/>
  <c r="O161" i="3"/>
  <c r="U160" i="3"/>
  <c r="R160" i="3"/>
  <c r="O160" i="3"/>
  <c r="T159" i="3"/>
  <c r="U159" i="3" s="1"/>
  <c r="Q159" i="3"/>
  <c r="R159" i="3" s="1"/>
  <c r="O159" i="3"/>
  <c r="U158" i="3"/>
  <c r="R158" i="3"/>
  <c r="O158" i="3"/>
  <c r="U157" i="3"/>
  <c r="R157" i="3"/>
  <c r="O157" i="3"/>
  <c r="U156" i="3"/>
  <c r="R156" i="3"/>
  <c r="O156" i="3"/>
  <c r="T155" i="3"/>
  <c r="T152" i="3" s="1"/>
  <c r="U152" i="3" s="1"/>
  <c r="Q155" i="3"/>
  <c r="R155" i="3" s="1"/>
  <c r="N155" i="3"/>
  <c r="O155" i="3" s="1"/>
  <c r="T154" i="3"/>
  <c r="U154" i="3" s="1"/>
  <c r="R154" i="3"/>
  <c r="O154" i="3"/>
  <c r="N152" i="3"/>
  <c r="M152" i="3"/>
  <c r="T150" i="3"/>
  <c r="T148" i="3" s="1"/>
  <c r="U148" i="3" s="1"/>
  <c r="R150" i="3"/>
  <c r="O150" i="3"/>
  <c r="U149" i="3"/>
  <c r="R149" i="3"/>
  <c r="O149" i="3"/>
  <c r="Q148" i="3"/>
  <c r="R148" i="3" s="1"/>
  <c r="N148" i="3"/>
  <c r="M148" i="3"/>
  <c r="U147" i="3"/>
  <c r="R147" i="3"/>
  <c r="O147" i="3"/>
  <c r="T146" i="3"/>
  <c r="U146" i="3" s="1"/>
  <c r="Q146" i="3"/>
  <c r="N146" i="3"/>
  <c r="M146" i="3"/>
  <c r="U145" i="3"/>
  <c r="R145" i="3"/>
  <c r="O145" i="3"/>
  <c r="U144" i="3"/>
  <c r="R144" i="3"/>
  <c r="O144" i="3"/>
  <c r="U143" i="3"/>
  <c r="R143" i="3"/>
  <c r="O143" i="3"/>
  <c r="U142" i="3"/>
  <c r="R142" i="3"/>
  <c r="O142" i="3"/>
  <c r="T141" i="3"/>
  <c r="U141" i="3" s="1"/>
  <c r="Q141" i="3"/>
  <c r="R141" i="3" s="1"/>
  <c r="N141" i="3"/>
  <c r="M141" i="3"/>
  <c r="U139" i="3"/>
  <c r="R139" i="3"/>
  <c r="O139" i="3"/>
  <c r="U138" i="3"/>
  <c r="R138" i="3"/>
  <c r="O138" i="3"/>
  <c r="U137" i="3"/>
  <c r="R137" i="3"/>
  <c r="O137" i="3"/>
  <c r="T136" i="3"/>
  <c r="Q136" i="3"/>
  <c r="N136" i="3"/>
  <c r="M136" i="3"/>
  <c r="U135" i="3"/>
  <c r="R135" i="3"/>
  <c r="O135" i="3"/>
  <c r="U134" i="3"/>
  <c r="R134" i="3"/>
  <c r="O134" i="3"/>
  <c r="U133" i="3"/>
  <c r="R133" i="3"/>
  <c r="O133" i="3"/>
  <c r="U132" i="3"/>
  <c r="R132" i="3"/>
  <c r="O132" i="3"/>
  <c r="T131" i="3"/>
  <c r="U131" i="3" s="1"/>
  <c r="Q131" i="3"/>
  <c r="R131" i="3" s="1"/>
  <c r="N131" i="3"/>
  <c r="M131" i="3"/>
  <c r="U129" i="3"/>
  <c r="Q129" i="3"/>
  <c r="R129" i="3" s="1"/>
  <c r="O129" i="3"/>
  <c r="U128" i="3"/>
  <c r="R128" i="3"/>
  <c r="O128" i="3"/>
  <c r="T127" i="3"/>
  <c r="U127" i="3" s="1"/>
  <c r="N127" i="3"/>
  <c r="M127" i="3"/>
  <c r="U126" i="3"/>
  <c r="R126" i="3"/>
  <c r="O126" i="3"/>
  <c r="T125" i="3"/>
  <c r="U125" i="3" s="1"/>
  <c r="Q125" i="3"/>
  <c r="R125" i="3" s="1"/>
  <c r="N125" i="3"/>
  <c r="M125" i="3"/>
  <c r="U124" i="3"/>
  <c r="R124" i="3"/>
  <c r="R123" i="3" s="1"/>
  <c r="O124" i="3"/>
  <c r="O123" i="3" s="1"/>
  <c r="T123" i="3"/>
  <c r="U123" i="3" s="1"/>
  <c r="Q123" i="3"/>
  <c r="N123" i="3"/>
  <c r="M123" i="3"/>
  <c r="U122" i="3"/>
  <c r="R122" i="3"/>
  <c r="O122" i="3"/>
  <c r="T121" i="3"/>
  <c r="U121" i="3" s="1"/>
  <c r="Q121" i="3"/>
  <c r="R121" i="3" s="1"/>
  <c r="N121" i="3"/>
  <c r="M121" i="3"/>
  <c r="U120" i="3"/>
  <c r="R120" i="3"/>
  <c r="O120" i="3"/>
  <c r="T119" i="3"/>
  <c r="U119" i="3" s="1"/>
  <c r="Q119" i="3"/>
  <c r="R119" i="3" s="1"/>
  <c r="N119" i="3"/>
  <c r="M119" i="3"/>
  <c r="U118" i="3"/>
  <c r="R118" i="3"/>
  <c r="O118" i="3"/>
  <c r="U117" i="3"/>
  <c r="R117" i="3"/>
  <c r="O117" i="3"/>
  <c r="U116" i="3"/>
  <c r="R116" i="3"/>
  <c r="O116" i="3"/>
  <c r="U115" i="3"/>
  <c r="R115" i="3"/>
  <c r="N115" i="3"/>
  <c r="O115" i="3" s="1"/>
  <c r="T114" i="3"/>
  <c r="U114" i="3" s="1"/>
  <c r="Q114" i="3"/>
  <c r="M114" i="3"/>
  <c r="U113" i="3"/>
  <c r="R113" i="3"/>
  <c r="O113" i="3"/>
  <c r="U112" i="3"/>
  <c r="Q112" i="3"/>
  <c r="R112" i="3" s="1"/>
  <c r="O112" i="3"/>
  <c r="U111" i="3"/>
  <c r="Q111" i="3"/>
  <c r="R111" i="3" s="1"/>
  <c r="O111" i="3"/>
  <c r="U110" i="3"/>
  <c r="R110" i="3"/>
  <c r="O110" i="3"/>
  <c r="T109" i="3"/>
  <c r="U109" i="3" s="1"/>
  <c r="Q109" i="3"/>
  <c r="R109" i="3" s="1"/>
  <c r="N109" i="3"/>
  <c r="M109" i="3"/>
  <c r="U107" i="3"/>
  <c r="R107" i="3"/>
  <c r="R106" i="3" s="1"/>
  <c r="O107" i="3"/>
  <c r="O106" i="3" s="1"/>
  <c r="T106" i="3"/>
  <c r="U106" i="3" s="1"/>
  <c r="Q106" i="3"/>
  <c r="N106" i="3"/>
  <c r="M106" i="3"/>
  <c r="U105" i="3"/>
  <c r="R105" i="3"/>
  <c r="O105" i="3"/>
  <c r="T104" i="3"/>
  <c r="Q104" i="3"/>
  <c r="R104" i="3" s="1"/>
  <c r="N104" i="3"/>
  <c r="M104" i="3"/>
  <c r="O104" i="3" s="1"/>
  <c r="U103" i="3"/>
  <c r="U102" i="3"/>
  <c r="R102" i="3"/>
  <c r="O102" i="3"/>
  <c r="U101" i="3"/>
  <c r="R101" i="3"/>
  <c r="O101" i="3"/>
  <c r="T100" i="3"/>
  <c r="U100" i="3" s="1"/>
  <c r="Q100" i="3"/>
  <c r="N100" i="3"/>
  <c r="M100" i="3"/>
  <c r="U98" i="3"/>
  <c r="R98" i="3"/>
  <c r="O98" i="3"/>
  <c r="U97" i="3"/>
  <c r="R97" i="3"/>
  <c r="N97" i="3"/>
  <c r="O97" i="3" s="1"/>
  <c r="T96" i="3"/>
  <c r="U96" i="3" s="1"/>
  <c r="Q96" i="3"/>
  <c r="Q94" i="3" s="1"/>
  <c r="R94" i="3" s="1"/>
  <c r="O96" i="3"/>
  <c r="T95" i="3"/>
  <c r="R95" i="3"/>
  <c r="N95" i="3"/>
  <c r="O95" i="3" s="1"/>
  <c r="M94" i="3"/>
  <c r="U93" i="3"/>
  <c r="R93" i="3"/>
  <c r="O93" i="3"/>
  <c r="T92" i="3"/>
  <c r="U92" i="3" s="1"/>
  <c r="Q92" i="3"/>
  <c r="R92" i="3" s="1"/>
  <c r="N92" i="3"/>
  <c r="M92" i="3"/>
  <c r="T91" i="3"/>
  <c r="T87" i="3" s="1"/>
  <c r="U87" i="3" s="1"/>
  <c r="R91" i="3"/>
  <c r="O91" i="3"/>
  <c r="U90" i="3"/>
  <c r="Q90" i="3"/>
  <c r="R90" i="3" s="1"/>
  <c r="O90" i="3"/>
  <c r="U89" i="3"/>
  <c r="R89" i="3"/>
  <c r="O89" i="3"/>
  <c r="U88" i="3"/>
  <c r="Q88" i="3"/>
  <c r="R88" i="3" s="1"/>
  <c r="N88" i="3"/>
  <c r="M87" i="3"/>
  <c r="U86" i="3"/>
  <c r="R86" i="3"/>
  <c r="O86" i="3"/>
  <c r="T85" i="3"/>
  <c r="U85" i="3" s="1"/>
  <c r="R85" i="3"/>
  <c r="O85" i="3"/>
  <c r="Q84" i="3"/>
  <c r="R84" i="3" s="1"/>
  <c r="N84" i="3"/>
  <c r="M84" i="3"/>
  <c r="U83" i="3"/>
  <c r="Q83" i="3"/>
  <c r="O83" i="3"/>
  <c r="T82" i="3"/>
  <c r="U82" i="3" s="1"/>
  <c r="N82" i="3"/>
  <c r="M82" i="3"/>
  <c r="U80" i="3"/>
  <c r="R80" i="3"/>
  <c r="O80" i="3"/>
  <c r="U79" i="3"/>
  <c r="R79" i="3"/>
  <c r="Q79" i="3"/>
  <c r="P79" i="3"/>
  <c r="P77" i="3" s="1"/>
  <c r="N79" i="3"/>
  <c r="U78" i="3"/>
  <c r="R78" i="3"/>
  <c r="O78" i="3"/>
  <c r="T77" i="3"/>
  <c r="U77" i="3" s="1"/>
  <c r="Q77" i="3"/>
  <c r="M77" i="3"/>
  <c r="U76" i="3"/>
  <c r="R76" i="3"/>
  <c r="O76" i="3"/>
  <c r="U75" i="3"/>
  <c r="R75" i="3"/>
  <c r="O75" i="3"/>
  <c r="T74" i="3"/>
  <c r="U74" i="3" s="1"/>
  <c r="Q74" i="3"/>
  <c r="N74" i="3"/>
  <c r="M74" i="3"/>
  <c r="U73" i="3"/>
  <c r="Q73" i="3"/>
  <c r="R73" i="3" s="1"/>
  <c r="O73" i="3"/>
  <c r="U72" i="3"/>
  <c r="R72" i="3"/>
  <c r="N72" i="3"/>
  <c r="O72" i="3" s="1"/>
  <c r="T71" i="3"/>
  <c r="U71" i="3" s="1"/>
  <c r="R71" i="3"/>
  <c r="N71" i="3"/>
  <c r="O71" i="3" s="1"/>
  <c r="T70" i="3"/>
  <c r="U70" i="3" s="1"/>
  <c r="R70" i="3"/>
  <c r="Q70" i="3"/>
  <c r="O70" i="3"/>
  <c r="Q69" i="3"/>
  <c r="M69" i="3"/>
  <c r="T68" i="3"/>
  <c r="T64" i="3" s="1"/>
  <c r="U64" i="3" s="1"/>
  <c r="Q68" i="3"/>
  <c r="R68" i="3" s="1"/>
  <c r="O68" i="3"/>
  <c r="U67" i="3"/>
  <c r="Q67" i="3"/>
  <c r="Q64" i="3" s="1"/>
  <c r="R64" i="3" s="1"/>
  <c r="N67" i="3"/>
  <c r="O67" i="3" s="1"/>
  <c r="U66" i="3"/>
  <c r="R66" i="3"/>
  <c r="O66" i="3"/>
  <c r="U65" i="3"/>
  <c r="R65" i="3"/>
  <c r="O65" i="3"/>
  <c r="N64" i="3"/>
  <c r="M64" i="3"/>
  <c r="T62" i="3"/>
  <c r="U62" i="3" s="1"/>
  <c r="R62" i="3"/>
  <c r="O62" i="3"/>
  <c r="Q61" i="3"/>
  <c r="P61" i="3"/>
  <c r="N61" i="3"/>
  <c r="M61" i="3"/>
  <c r="U60" i="3"/>
  <c r="R60" i="3"/>
  <c r="O60" i="3"/>
  <c r="T59" i="3"/>
  <c r="U59" i="3" s="1"/>
  <c r="Q59" i="3"/>
  <c r="P59" i="3"/>
  <c r="N59" i="3"/>
  <c r="M59" i="3"/>
  <c r="T58" i="3"/>
  <c r="U58" i="3" s="1"/>
  <c r="R58" i="3"/>
  <c r="R57" i="3" s="1"/>
  <c r="O58" i="3"/>
  <c r="O57" i="3" s="1"/>
  <c r="Q57" i="3"/>
  <c r="N57" i="3"/>
  <c r="M57" i="3"/>
  <c r="U56" i="3"/>
  <c r="R56" i="3"/>
  <c r="O56" i="3"/>
  <c r="U55" i="3"/>
  <c r="R55" i="3"/>
  <c r="N55" i="3"/>
  <c r="U54" i="3"/>
  <c r="R54" i="3"/>
  <c r="O54" i="3"/>
  <c r="T53" i="3"/>
  <c r="U53" i="3" s="1"/>
  <c r="Q53" i="3"/>
  <c r="R53" i="3" s="1"/>
  <c r="M53" i="3"/>
  <c r="U52" i="3"/>
  <c r="R52" i="3"/>
  <c r="O52" i="3"/>
  <c r="U51" i="3"/>
  <c r="R51" i="3"/>
  <c r="O51" i="3"/>
  <c r="T50" i="3"/>
  <c r="T47" i="3" s="1"/>
  <c r="U47" i="3" s="1"/>
  <c r="R50" i="3"/>
  <c r="N50" i="3"/>
  <c r="O50" i="3" s="1"/>
  <c r="U49" i="3"/>
  <c r="R49" i="3"/>
  <c r="O49" i="3"/>
  <c r="U48" i="3"/>
  <c r="R48" i="3"/>
  <c r="O48" i="3"/>
  <c r="Q47" i="3"/>
  <c r="N47" i="3"/>
  <c r="M47" i="3"/>
  <c r="U45" i="3"/>
  <c r="R45" i="3"/>
  <c r="R44" i="3" s="1"/>
  <c r="O45" i="3"/>
  <c r="O44" i="3" s="1"/>
  <c r="T44" i="3"/>
  <c r="U44" i="3" s="1"/>
  <c r="Q44" i="3"/>
  <c r="P44" i="3"/>
  <c r="N44" i="3"/>
  <c r="M44" i="3"/>
  <c r="U43" i="3"/>
  <c r="R43" i="3"/>
  <c r="R42" i="3" s="1"/>
  <c r="O43" i="3"/>
  <c r="O42" i="3" s="1"/>
  <c r="T42" i="3"/>
  <c r="U42" i="3" s="1"/>
  <c r="Q42" i="3"/>
  <c r="P42" i="3"/>
  <c r="N42" i="3"/>
  <c r="M42" i="3"/>
  <c r="U40" i="3"/>
  <c r="R40" i="3"/>
  <c r="R39" i="3" s="1"/>
  <c r="O40" i="3"/>
  <c r="O39" i="3" s="1"/>
  <c r="T39" i="3"/>
  <c r="Q39" i="3"/>
  <c r="P39" i="3"/>
  <c r="N39" i="3"/>
  <c r="M39" i="3"/>
  <c r="U38" i="3"/>
  <c r="R38" i="3"/>
  <c r="O38" i="3"/>
  <c r="U37" i="3"/>
  <c r="R37" i="3"/>
  <c r="O37" i="3"/>
  <c r="U36" i="3"/>
  <c r="T35" i="3"/>
  <c r="U35" i="3" s="1"/>
  <c r="Q35" i="3"/>
  <c r="P35" i="3"/>
  <c r="N35" i="3"/>
  <c r="M35" i="3"/>
  <c r="U34" i="3"/>
  <c r="U33" i="3"/>
  <c r="U32" i="3"/>
  <c r="U31" i="3"/>
  <c r="R31" i="3"/>
  <c r="R30" i="3" s="1"/>
  <c r="O31" i="3"/>
  <c r="O30" i="3" s="1"/>
  <c r="T30" i="3"/>
  <c r="U30" i="3" s="1"/>
  <c r="Q30" i="3"/>
  <c r="P30" i="3"/>
  <c r="N30" i="3"/>
  <c r="M30" i="3"/>
  <c r="U28" i="3"/>
  <c r="R28" i="3"/>
  <c r="O28" i="3"/>
  <c r="U27" i="3"/>
  <c r="R27" i="3"/>
  <c r="O27" i="3"/>
  <c r="T26" i="3"/>
  <c r="U26" i="3" s="1"/>
  <c r="Q26" i="3"/>
  <c r="P26" i="3"/>
  <c r="N26" i="3"/>
  <c r="M26" i="3"/>
  <c r="U25" i="3"/>
  <c r="R25" i="3"/>
  <c r="O25" i="3"/>
  <c r="U24" i="3"/>
  <c r="R24" i="3"/>
  <c r="O24" i="3"/>
  <c r="T23" i="3"/>
  <c r="U23" i="3" s="1"/>
  <c r="Q23" i="3"/>
  <c r="P23" i="3"/>
  <c r="N23" i="3"/>
  <c r="M23" i="3"/>
  <c r="U21" i="3"/>
  <c r="R21" i="3"/>
  <c r="O21" i="3"/>
  <c r="U20" i="3"/>
  <c r="R20" i="3"/>
  <c r="O20" i="3"/>
  <c r="U19" i="3"/>
  <c r="R19" i="3"/>
  <c r="O19" i="3"/>
  <c r="U18" i="3"/>
  <c r="R18" i="3"/>
  <c r="O18" i="3"/>
  <c r="T17" i="3"/>
  <c r="U17" i="3" s="1"/>
  <c r="Q17" i="3"/>
  <c r="P17" i="3"/>
  <c r="N17" i="3"/>
  <c r="M17" i="3"/>
  <c r="U16" i="3"/>
  <c r="R16" i="3"/>
  <c r="O16" i="3"/>
  <c r="T15" i="3"/>
  <c r="U15" i="3" s="1"/>
  <c r="R15" i="3"/>
  <c r="O15" i="3"/>
  <c r="Q14" i="3"/>
  <c r="N14" i="3"/>
  <c r="M14" i="3"/>
  <c r="U13" i="3"/>
  <c r="U12" i="3" s="1"/>
  <c r="R13" i="3"/>
  <c r="R12" i="3" s="1"/>
  <c r="O13" i="3"/>
  <c r="O12" i="3" s="1"/>
  <c r="T12" i="3"/>
  <c r="Q12" i="3"/>
  <c r="N12" i="3"/>
  <c r="M12" i="3"/>
  <c r="U11" i="3"/>
  <c r="U10" i="3" s="1"/>
  <c r="R11" i="3"/>
  <c r="R10" i="3" s="1"/>
  <c r="O11" i="3"/>
  <c r="O10" i="3" s="1"/>
  <c r="T10" i="3"/>
  <c r="Q10" i="3"/>
  <c r="N10" i="3"/>
  <c r="M10" i="3"/>
  <c r="R23" i="3" l="1"/>
  <c r="R59" i="3"/>
  <c r="T184" i="3"/>
  <c r="U184" i="3" s="1"/>
  <c r="M9" i="3"/>
  <c r="R26" i="3"/>
  <c r="T69" i="3"/>
  <c r="T63" i="3" s="1"/>
  <c r="U63" i="3" s="1"/>
  <c r="R179" i="3"/>
  <c r="R67" i="3"/>
  <c r="M140" i="3"/>
  <c r="N202" i="3"/>
  <c r="R202" i="3"/>
  <c r="N41" i="3"/>
  <c r="Q41" i="3"/>
  <c r="T61" i="3"/>
  <c r="U61" i="3" s="1"/>
  <c r="R96" i="3"/>
  <c r="Q127" i="3"/>
  <c r="R127" i="3" s="1"/>
  <c r="Q130" i="3"/>
  <c r="R130" i="3" s="1"/>
  <c r="Q202" i="3"/>
  <c r="R35" i="3"/>
  <c r="M41" i="3"/>
  <c r="O41" i="3" s="1"/>
  <c r="M46" i="3"/>
  <c r="M99" i="3"/>
  <c r="N114" i="3"/>
  <c r="N108" i="3" s="1"/>
  <c r="R184" i="3"/>
  <c r="U50" i="3"/>
  <c r="U91" i="3"/>
  <c r="O148" i="3"/>
  <c r="Q152" i="3"/>
  <c r="R152" i="3" s="1"/>
  <c r="U155" i="3"/>
  <c r="U179" i="3"/>
  <c r="O189" i="3"/>
  <c r="T202" i="3"/>
  <c r="U202" i="3" s="1"/>
  <c r="T22" i="3"/>
  <c r="U22" i="3" s="1"/>
  <c r="Q22" i="3"/>
  <c r="O26" i="3"/>
  <c r="M29" i="3"/>
  <c r="Q29" i="3"/>
  <c r="U68" i="3"/>
  <c r="T84" i="3"/>
  <c r="U84" i="3" s="1"/>
  <c r="Q87" i="3"/>
  <c r="R87" i="3" s="1"/>
  <c r="O92" i="3"/>
  <c r="N94" i="3"/>
  <c r="O94" i="3" s="1"/>
  <c r="O100" i="3"/>
  <c r="O109" i="3"/>
  <c r="O121" i="3"/>
  <c r="O125" i="3"/>
  <c r="O141" i="3"/>
  <c r="U150" i="3"/>
  <c r="Q162" i="3"/>
  <c r="R162" i="3" s="1"/>
  <c r="N169" i="3"/>
  <c r="O169" i="3" s="1"/>
  <c r="P178" i="3"/>
  <c r="P177" i="3" s="1"/>
  <c r="O23" i="3"/>
  <c r="N29" i="3"/>
  <c r="O29" i="3" s="1"/>
  <c r="O59" i="3"/>
  <c r="O61" i="3"/>
  <c r="O74" i="3"/>
  <c r="R77" i="3"/>
  <c r="Q169" i="3"/>
  <c r="R169" i="3" s="1"/>
  <c r="Q184" i="3"/>
  <c r="Q177" i="3" s="1"/>
  <c r="Q197" i="3"/>
  <c r="R197" i="3" s="1"/>
  <c r="R188" i="3" s="1"/>
  <c r="O14" i="3"/>
  <c r="O9" i="3" s="1"/>
  <c r="R136" i="3"/>
  <c r="R14" i="3"/>
  <c r="R74" i="3"/>
  <c r="W210" i="3"/>
  <c r="X210" i="3" s="1"/>
  <c r="T188" i="3"/>
  <c r="U188" i="3" s="1"/>
  <c r="O197" i="3"/>
  <c r="M188" i="3"/>
  <c r="M177" i="3"/>
  <c r="O184" i="3"/>
  <c r="O182" i="3"/>
  <c r="N177" i="3"/>
  <c r="O178" i="3"/>
  <c r="N140" i="3"/>
  <c r="O146" i="3"/>
  <c r="O119" i="3"/>
  <c r="R114" i="3"/>
  <c r="O114" i="3"/>
  <c r="M108" i="3"/>
  <c r="N99" i="3"/>
  <c r="R69" i="3"/>
  <c r="R61" i="3"/>
  <c r="Q63" i="3"/>
  <c r="Q46" i="3"/>
  <c r="R46" i="3" s="1"/>
  <c r="O47" i="3"/>
  <c r="R47" i="3"/>
  <c r="P41" i="3"/>
  <c r="T41" i="3"/>
  <c r="U41" i="3" s="1"/>
  <c r="P29" i="3"/>
  <c r="M22" i="3"/>
  <c r="P22" i="3"/>
  <c r="N22" i="3"/>
  <c r="O17" i="3"/>
  <c r="N9" i="3"/>
  <c r="Q9" i="3"/>
  <c r="R9" i="3" s="1"/>
  <c r="U14" i="3"/>
  <c r="U39" i="3"/>
  <c r="T29" i="3"/>
  <c r="U29" i="3" s="1"/>
  <c r="T57" i="3"/>
  <c r="M63" i="3"/>
  <c r="O64" i="3"/>
  <c r="U104" i="3"/>
  <c r="T99" i="3"/>
  <c r="U99" i="3" s="1"/>
  <c r="O136" i="3"/>
  <c r="R146" i="3"/>
  <c r="Q140" i="3"/>
  <c r="R140" i="3" s="1"/>
  <c r="T14" i="3"/>
  <c r="T9" i="3" s="1"/>
  <c r="O35" i="3"/>
  <c r="O55" i="3"/>
  <c r="N53" i="3"/>
  <c r="N69" i="3"/>
  <c r="N63" i="3" s="1"/>
  <c r="O69" i="3"/>
  <c r="R83" i="3"/>
  <c r="Q82" i="3"/>
  <c r="O88" i="3"/>
  <c r="N87" i="3"/>
  <c r="N81" i="3" s="1"/>
  <c r="U95" i="3"/>
  <c r="T94" i="3"/>
  <c r="U94" i="3" s="1"/>
  <c r="O127" i="3"/>
  <c r="M151" i="3"/>
  <c r="O152" i="3"/>
  <c r="O163" i="3"/>
  <c r="N162" i="3"/>
  <c r="O162" i="3" s="1"/>
  <c r="U171" i="3"/>
  <c r="T169" i="3"/>
  <c r="U169" i="3" s="1"/>
  <c r="O202" i="3"/>
  <c r="R17" i="3"/>
  <c r="O79" i="3"/>
  <c r="N77" i="3"/>
  <c r="O77" i="3" s="1"/>
  <c r="R100" i="3"/>
  <c r="Q99" i="3"/>
  <c r="R99" i="3" s="1"/>
  <c r="M130" i="3"/>
  <c r="O131" i="3"/>
  <c r="U69" i="3"/>
  <c r="M81" i="3"/>
  <c r="O82" i="3"/>
  <c r="O84" i="3"/>
  <c r="T108" i="3"/>
  <c r="U108" i="3" s="1"/>
  <c r="N130" i="3"/>
  <c r="U136" i="3"/>
  <c r="T130" i="3"/>
  <c r="U130" i="3" s="1"/>
  <c r="T140" i="3"/>
  <c r="U140" i="3" s="1"/>
  <c r="U163" i="3"/>
  <c r="T162" i="3"/>
  <c r="Q108" i="3"/>
  <c r="R108" i="3" s="1"/>
  <c r="T179" i="2"/>
  <c r="R22" i="3" l="1"/>
  <c r="R29" i="3"/>
  <c r="R41" i="3"/>
  <c r="Q188" i="3"/>
  <c r="O140" i="3"/>
  <c r="O99" i="3"/>
  <c r="O188" i="3"/>
  <c r="T177" i="3"/>
  <c r="U177" i="3" s="1"/>
  <c r="R178" i="3"/>
  <c r="R177" i="3" s="1"/>
  <c r="T81" i="3"/>
  <c r="U81" i="3" s="1"/>
  <c r="O22" i="3"/>
  <c r="Q151" i="3"/>
  <c r="R151" i="3" s="1"/>
  <c r="N151" i="3"/>
  <c r="O151" i="3" s="1"/>
  <c r="R63" i="3"/>
  <c r="O177" i="3"/>
  <c r="O108" i="3"/>
  <c r="O87" i="3"/>
  <c r="P210" i="3"/>
  <c r="U9" i="3"/>
  <c r="O63" i="3"/>
  <c r="O81" i="3"/>
  <c r="O130" i="3"/>
  <c r="Q81" i="3"/>
  <c r="R82" i="3"/>
  <c r="U57" i="3"/>
  <c r="U46" i="3" s="1"/>
  <c r="T46" i="3"/>
  <c r="M210" i="3"/>
  <c r="U162" i="3"/>
  <c r="T151" i="3"/>
  <c r="U151" i="3" s="1"/>
  <c r="O53" i="3"/>
  <c r="N46" i="3"/>
  <c r="T155" i="2"/>
  <c r="T159" i="2"/>
  <c r="T210" i="3" l="1"/>
  <c r="U210" i="3" s="1"/>
  <c r="N210" i="3"/>
  <c r="O46" i="3"/>
  <c r="O210" i="3" s="1"/>
  <c r="R81" i="3"/>
  <c r="R210" i="3" s="1"/>
  <c r="Q210" i="3"/>
  <c r="T154" i="2"/>
  <c r="T214" i="3" l="1"/>
  <c r="T202" i="2"/>
  <c r="T50" i="2" l="1"/>
  <c r="T207" i="2" l="1"/>
  <c r="T171" i="2" l="1"/>
  <c r="T150" i="2" l="1"/>
  <c r="T71" i="2" l="1"/>
  <c r="T70" i="2"/>
  <c r="T62" i="2" l="1"/>
  <c r="T58" i="2"/>
  <c r="T68" i="2" l="1"/>
  <c r="T96" i="2"/>
  <c r="T203" i="2" l="1"/>
  <c r="T186" i="2"/>
  <c r="T185" i="2"/>
  <c r="T15" i="2"/>
  <c r="T95" i="2" l="1"/>
  <c r="T206" i="2" l="1"/>
  <c r="T91" i="2" l="1"/>
  <c r="T85" i="2"/>
  <c r="T163" i="2" l="1"/>
  <c r="T30" i="2" l="1"/>
  <c r="U30" i="2" s="1"/>
  <c r="U34" i="2"/>
  <c r="U33" i="2"/>
  <c r="U32" i="2"/>
  <c r="U207" i="2" l="1"/>
  <c r="T10" i="2" l="1"/>
  <c r="T12" i="2"/>
  <c r="T14" i="2"/>
  <c r="T23" i="2"/>
  <c r="T26" i="2"/>
  <c r="T35" i="2"/>
  <c r="T39" i="2"/>
  <c r="T42" i="2"/>
  <c r="T44" i="2"/>
  <c r="T47" i="2"/>
  <c r="T53" i="2"/>
  <c r="T100" i="2" l="1"/>
  <c r="T104" i="2"/>
  <c r="T69" i="2" l="1"/>
  <c r="T189" i="2" l="1"/>
  <c r="U195" i="2"/>
  <c r="U103" i="2"/>
  <c r="U100" i="2" l="1"/>
  <c r="U69" i="2" l="1"/>
  <c r="U202" i="2"/>
  <c r="T197" i="2"/>
  <c r="U197" i="2" s="1"/>
  <c r="U189" i="2"/>
  <c r="T184" i="2"/>
  <c r="U184" i="2" s="1"/>
  <c r="T182" i="2"/>
  <c r="U182" i="2" s="1"/>
  <c r="T178" i="2"/>
  <c r="T175" i="2"/>
  <c r="U175" i="2" s="1"/>
  <c r="T148" i="2"/>
  <c r="U148" i="2" s="1"/>
  <c r="T146" i="2"/>
  <c r="U146" i="2" s="1"/>
  <c r="T141" i="2"/>
  <c r="U141" i="2" s="1"/>
  <c r="T136" i="2"/>
  <c r="U136" i="2" s="1"/>
  <c r="T131" i="2"/>
  <c r="U131" i="2" s="1"/>
  <c r="T127" i="2"/>
  <c r="U127" i="2" s="1"/>
  <c r="T125" i="2"/>
  <c r="U125" i="2" s="1"/>
  <c r="T123" i="2"/>
  <c r="U123" i="2" s="1"/>
  <c r="T121" i="2"/>
  <c r="U121" i="2" s="1"/>
  <c r="T119" i="2"/>
  <c r="U119" i="2" s="1"/>
  <c r="T114" i="2"/>
  <c r="U114" i="2" s="1"/>
  <c r="T109" i="2"/>
  <c r="U109" i="2" s="1"/>
  <c r="T106" i="2"/>
  <c r="T99" i="2" s="1"/>
  <c r="U104" i="2"/>
  <c r="T94" i="2"/>
  <c r="U94" i="2" s="1"/>
  <c r="T92" i="2"/>
  <c r="U92" i="2" s="1"/>
  <c r="T87" i="2"/>
  <c r="U87" i="2" s="1"/>
  <c r="T84" i="2"/>
  <c r="U84" i="2" s="1"/>
  <c r="T82" i="2"/>
  <c r="U82" i="2" s="1"/>
  <c r="T17" i="2"/>
  <c r="U23" i="2"/>
  <c r="U26" i="2"/>
  <c r="U35" i="2"/>
  <c r="U39" i="2"/>
  <c r="U42" i="2"/>
  <c r="U44" i="2"/>
  <c r="T57" i="2"/>
  <c r="U57" i="2" s="1"/>
  <c r="T59" i="2"/>
  <c r="U59" i="2" s="1"/>
  <c r="T61" i="2"/>
  <c r="U61" i="2" s="1"/>
  <c r="T77" i="2"/>
  <c r="U77" i="2" s="1"/>
  <c r="T74" i="2"/>
  <c r="T64" i="2"/>
  <c r="U64" i="2" s="1"/>
  <c r="U203" i="2"/>
  <c r="U204" i="2"/>
  <c r="U205" i="2"/>
  <c r="U206" i="2"/>
  <c r="U208" i="2"/>
  <c r="U209" i="2"/>
  <c r="U198" i="2"/>
  <c r="U199" i="2"/>
  <c r="U200" i="2"/>
  <c r="U201" i="2"/>
  <c r="U191" i="2"/>
  <c r="U192" i="2"/>
  <c r="U193" i="2"/>
  <c r="U194" i="2"/>
  <c r="U190" i="2"/>
  <c r="U179" i="2"/>
  <c r="U180" i="2"/>
  <c r="U181" i="2"/>
  <c r="U183" i="2"/>
  <c r="U185" i="2"/>
  <c r="U186" i="2"/>
  <c r="U187" i="2"/>
  <c r="U176" i="2"/>
  <c r="U142" i="2"/>
  <c r="U143" i="2"/>
  <c r="U144" i="2"/>
  <c r="U145" i="2"/>
  <c r="U147" i="2"/>
  <c r="U149" i="2"/>
  <c r="U150" i="2"/>
  <c r="U132" i="2"/>
  <c r="U133" i="2"/>
  <c r="U134" i="2"/>
  <c r="U135" i="2"/>
  <c r="U137" i="2"/>
  <c r="U138" i="2"/>
  <c r="U139" i="2"/>
  <c r="U126" i="2"/>
  <c r="U128" i="2"/>
  <c r="U129" i="2"/>
  <c r="U110" i="2"/>
  <c r="U111" i="2"/>
  <c r="U112" i="2"/>
  <c r="U113" i="2"/>
  <c r="U115" i="2"/>
  <c r="U116" i="2"/>
  <c r="U117" i="2"/>
  <c r="U118" i="2"/>
  <c r="U120" i="2"/>
  <c r="U122" i="2"/>
  <c r="U124" i="2"/>
  <c r="U101" i="2"/>
  <c r="U102" i="2"/>
  <c r="U105" i="2"/>
  <c r="U107" i="2"/>
  <c r="U95" i="2"/>
  <c r="U96" i="2"/>
  <c r="U97" i="2"/>
  <c r="U98" i="2"/>
  <c r="U83" i="2"/>
  <c r="U85" i="2"/>
  <c r="U86" i="2"/>
  <c r="U88" i="2"/>
  <c r="U89" i="2"/>
  <c r="U90" i="2"/>
  <c r="U91" i="2"/>
  <c r="U93" i="2"/>
  <c r="U78" i="2"/>
  <c r="U79" i="2"/>
  <c r="U80" i="2"/>
  <c r="U65" i="2"/>
  <c r="U66" i="2"/>
  <c r="U67" i="2"/>
  <c r="U68" i="2"/>
  <c r="U70" i="2"/>
  <c r="U71" i="2"/>
  <c r="U72" i="2"/>
  <c r="U75" i="2"/>
  <c r="U76" i="2"/>
  <c r="U60" i="2"/>
  <c r="U62" i="2"/>
  <c r="U58" i="2"/>
  <c r="U54" i="2"/>
  <c r="U55" i="2"/>
  <c r="U56" i="2"/>
  <c r="U52" i="2"/>
  <c r="U43" i="2"/>
  <c r="U45" i="2"/>
  <c r="U40" i="2"/>
  <c r="U37" i="2"/>
  <c r="U38" i="2"/>
  <c r="U36" i="2"/>
  <c r="U31" i="2"/>
  <c r="U27" i="2"/>
  <c r="U28" i="2"/>
  <c r="U24" i="2"/>
  <c r="U25" i="2"/>
  <c r="T140" i="2" l="1"/>
  <c r="U140" i="2" s="1"/>
  <c r="U106" i="2"/>
  <c r="U99" i="2"/>
  <c r="T29" i="2"/>
  <c r="U29" i="2" s="1"/>
  <c r="T22" i="2"/>
  <c r="T177" i="2"/>
  <c r="U177" i="2" s="1"/>
  <c r="T130" i="2"/>
  <c r="U130" i="2" s="1"/>
  <c r="U178" i="2"/>
  <c r="T188" i="2"/>
  <c r="U188" i="2" s="1"/>
  <c r="T108" i="2"/>
  <c r="U108" i="2" s="1"/>
  <c r="T41" i="2"/>
  <c r="U41" i="2" s="1"/>
  <c r="T9" i="2"/>
  <c r="U73" i="2"/>
  <c r="T63" i="2"/>
  <c r="T81" i="2"/>
  <c r="U81" i="2" s="1"/>
  <c r="U74" i="2"/>
  <c r="U63" i="2" l="1"/>
  <c r="U174" i="2" l="1"/>
  <c r="U171" i="2"/>
  <c r="U172" i="2"/>
  <c r="U170" i="2"/>
  <c r="U165" i="2"/>
  <c r="U166" i="2"/>
  <c r="U167" i="2"/>
  <c r="U168" i="2"/>
  <c r="U164" i="2"/>
  <c r="U163" i="2"/>
  <c r="T162" i="2"/>
  <c r="U162" i="2" s="1"/>
  <c r="U156" i="2"/>
  <c r="U157" i="2"/>
  <c r="U158" i="2"/>
  <c r="U159" i="2"/>
  <c r="U160" i="2"/>
  <c r="U161" i="2"/>
  <c r="U154" i="2"/>
  <c r="T173" i="2"/>
  <c r="U173" i="2" s="1"/>
  <c r="T169" i="2"/>
  <c r="U169" i="2" s="1"/>
  <c r="T152" i="2"/>
  <c r="U152" i="2" s="1"/>
  <c r="U155" i="2"/>
  <c r="T151" i="2" l="1"/>
  <c r="U151" i="2" l="1"/>
  <c r="U53" i="2"/>
  <c r="U47" i="2"/>
  <c r="T46" i="2" l="1"/>
  <c r="U49" i="2"/>
  <c r="U50" i="2"/>
  <c r="U51" i="2"/>
  <c r="U48" i="2"/>
  <c r="U13" i="2"/>
  <c r="U11" i="2"/>
  <c r="U46" i="2" l="1"/>
  <c r="T210" i="2"/>
  <c r="U210" i="2" l="1"/>
  <c r="T214" i="2"/>
  <c r="U22" i="2"/>
  <c r="U21" i="2"/>
  <c r="U20" i="2"/>
  <c r="U19" i="2"/>
  <c r="U18" i="2"/>
  <c r="U17" i="2"/>
  <c r="U16" i="2"/>
  <c r="U15" i="2"/>
  <c r="U12" i="2"/>
  <c r="U10" i="2"/>
  <c r="U9" i="2"/>
  <c r="U14" i="2" l="1"/>
  <c r="Q198" i="2"/>
  <c r="Q163" i="2" l="1"/>
  <c r="Q155" i="2"/>
  <c r="Q179" i="2" l="1"/>
  <c r="Q68" i="2" l="1"/>
  <c r="Q67" i="2"/>
  <c r="Q79" i="2" l="1"/>
  <c r="Q206" i="2"/>
  <c r="Q83" i="2" l="1"/>
  <c r="Q88" i="2"/>
  <c r="Q186" i="2" l="1"/>
  <c r="Q201" i="2" l="1"/>
  <c r="P179" i="2" l="1"/>
  <c r="P178" i="2" s="1"/>
  <c r="P177" i="2" s="1"/>
  <c r="P79" i="2"/>
  <c r="P77" i="2" s="1"/>
  <c r="Q96" i="2" l="1"/>
  <c r="Q171" i="2" l="1"/>
  <c r="Q159" i="2"/>
  <c r="Q185" i="2" l="1"/>
  <c r="Q129" i="2" l="1"/>
  <c r="Q90" i="2"/>
  <c r="Q112" i="2" l="1"/>
  <c r="Q111" i="2" l="1"/>
  <c r="R209" i="2" l="1"/>
  <c r="O209" i="2"/>
  <c r="R208" i="2"/>
  <c r="O208" i="2"/>
  <c r="Q207" i="2"/>
  <c r="R207" i="2" s="1"/>
  <c r="O207" i="2"/>
  <c r="R206" i="2"/>
  <c r="N206" i="2"/>
  <c r="O206" i="2" s="1"/>
  <c r="R205" i="2"/>
  <c r="O205" i="2"/>
  <c r="R204" i="2"/>
  <c r="O204" i="2"/>
  <c r="R203" i="2"/>
  <c r="O203" i="2"/>
  <c r="N202" i="2"/>
  <c r="M202" i="2"/>
  <c r="R201" i="2"/>
  <c r="N201" i="2"/>
  <c r="O201" i="2" s="1"/>
  <c r="R200" i="2"/>
  <c r="O200" i="2"/>
  <c r="R199" i="2"/>
  <c r="O199" i="2"/>
  <c r="R198" i="2"/>
  <c r="O198" i="2"/>
  <c r="Q197" i="2"/>
  <c r="R197" i="2" s="1"/>
  <c r="N197" i="2"/>
  <c r="M197" i="2"/>
  <c r="R194" i="2"/>
  <c r="O194" i="2"/>
  <c r="R193" i="2"/>
  <c r="O193" i="2"/>
  <c r="R192" i="2"/>
  <c r="O192" i="2"/>
  <c r="R191" i="2"/>
  <c r="O191" i="2"/>
  <c r="R190" i="2"/>
  <c r="O190" i="2"/>
  <c r="Q189" i="2"/>
  <c r="R189" i="2" s="1"/>
  <c r="N189" i="2"/>
  <c r="M189" i="2"/>
  <c r="R187" i="2"/>
  <c r="O187" i="2"/>
  <c r="R186" i="2"/>
  <c r="O186" i="2"/>
  <c r="R185" i="2"/>
  <c r="O185" i="2"/>
  <c r="Q184" i="2"/>
  <c r="N184" i="2"/>
  <c r="M184" i="2"/>
  <c r="R183" i="2"/>
  <c r="O183" i="2"/>
  <c r="Q182" i="2"/>
  <c r="R182" i="2" s="1"/>
  <c r="N182" i="2"/>
  <c r="M182" i="2"/>
  <c r="R181" i="2"/>
  <c r="O181" i="2"/>
  <c r="R180" i="2"/>
  <c r="O180" i="2"/>
  <c r="R179" i="2"/>
  <c r="O179" i="2"/>
  <c r="Q178" i="2"/>
  <c r="N178" i="2"/>
  <c r="M178" i="2"/>
  <c r="R176" i="2"/>
  <c r="R175" i="2" s="1"/>
  <c r="O176" i="2"/>
  <c r="O175" i="2" s="1"/>
  <c r="Q175" i="2"/>
  <c r="N175" i="2"/>
  <c r="M175" i="2"/>
  <c r="R174" i="2"/>
  <c r="O174" i="2"/>
  <c r="Q173" i="2"/>
  <c r="R173" i="2" s="1"/>
  <c r="N173" i="2"/>
  <c r="M173" i="2"/>
  <c r="R172" i="2"/>
  <c r="O172" i="2"/>
  <c r="R171" i="2"/>
  <c r="O171" i="2"/>
  <c r="R170" i="2"/>
  <c r="N170" i="2"/>
  <c r="N169" i="2" s="1"/>
  <c r="Q169" i="2"/>
  <c r="R169" i="2" s="1"/>
  <c r="M169" i="2"/>
  <c r="R168" i="2"/>
  <c r="O168" i="2"/>
  <c r="R167" i="2"/>
  <c r="O167" i="2"/>
  <c r="R166" i="2"/>
  <c r="O166" i="2"/>
  <c r="R165" i="2"/>
  <c r="N165" i="2"/>
  <c r="O165" i="2" s="1"/>
  <c r="R164" i="2"/>
  <c r="O164" i="2"/>
  <c r="R163" i="2"/>
  <c r="O163" i="2"/>
  <c r="N163" i="2"/>
  <c r="Q162" i="2"/>
  <c r="R162" i="2" s="1"/>
  <c r="M162" i="2"/>
  <c r="R161" i="2"/>
  <c r="O161" i="2"/>
  <c r="R160" i="2"/>
  <c r="O160" i="2"/>
  <c r="R159" i="2"/>
  <c r="O159" i="2"/>
  <c r="R158" i="2"/>
  <c r="O158" i="2"/>
  <c r="R157" i="2"/>
  <c r="O157" i="2"/>
  <c r="R156" i="2"/>
  <c r="O156" i="2"/>
  <c r="R155" i="2"/>
  <c r="N155" i="2"/>
  <c r="O155" i="2" s="1"/>
  <c r="R154" i="2"/>
  <c r="O154" i="2"/>
  <c r="Q152" i="2"/>
  <c r="R152" i="2" s="1"/>
  <c r="N152" i="2"/>
  <c r="M152" i="2"/>
  <c r="R150" i="2"/>
  <c r="O150" i="2"/>
  <c r="R149" i="2"/>
  <c r="O149" i="2"/>
  <c r="Q148" i="2"/>
  <c r="R148" i="2" s="1"/>
  <c r="N148" i="2"/>
  <c r="M148" i="2"/>
  <c r="O148" i="2" s="1"/>
  <c r="R147" i="2"/>
  <c r="O147" i="2"/>
  <c r="Q146" i="2"/>
  <c r="R146" i="2" s="1"/>
  <c r="N146" i="2"/>
  <c r="N140" i="2" s="1"/>
  <c r="M146" i="2"/>
  <c r="R145" i="2"/>
  <c r="O145" i="2"/>
  <c r="R144" i="2"/>
  <c r="O144" i="2"/>
  <c r="R143" i="2"/>
  <c r="O143" i="2"/>
  <c r="R142" i="2"/>
  <c r="O142" i="2"/>
  <c r="Q141" i="2"/>
  <c r="N141" i="2"/>
  <c r="M141" i="2"/>
  <c r="O141" i="2" s="1"/>
  <c r="R139" i="2"/>
  <c r="O139" i="2"/>
  <c r="R138" i="2"/>
  <c r="O138" i="2"/>
  <c r="R137" i="2"/>
  <c r="O137" i="2"/>
  <c r="Q136" i="2"/>
  <c r="N136" i="2"/>
  <c r="N130" i="2" s="1"/>
  <c r="M136" i="2"/>
  <c r="R135" i="2"/>
  <c r="O135" i="2"/>
  <c r="R134" i="2"/>
  <c r="O134" i="2"/>
  <c r="R133" i="2"/>
  <c r="O133" i="2"/>
  <c r="R132" i="2"/>
  <c r="O132" i="2"/>
  <c r="Q131" i="2"/>
  <c r="N131" i="2"/>
  <c r="M131" i="2"/>
  <c r="O131" i="2" s="1"/>
  <c r="R129" i="2"/>
  <c r="O129" i="2"/>
  <c r="R128" i="2"/>
  <c r="O128" i="2"/>
  <c r="Q127" i="2"/>
  <c r="R127" i="2" s="1"/>
  <c r="N127" i="2"/>
  <c r="M127" i="2"/>
  <c r="R126" i="2"/>
  <c r="O126" i="2"/>
  <c r="Q125" i="2"/>
  <c r="R125" i="2" s="1"/>
  <c r="N125" i="2"/>
  <c r="M125" i="2"/>
  <c r="R124" i="2"/>
  <c r="R123" i="2" s="1"/>
  <c r="O124" i="2"/>
  <c r="O123" i="2" s="1"/>
  <c r="Q123" i="2"/>
  <c r="N123" i="2"/>
  <c r="M123" i="2"/>
  <c r="R122" i="2"/>
  <c r="O122" i="2"/>
  <c r="Q121" i="2"/>
  <c r="R121" i="2" s="1"/>
  <c r="N121" i="2"/>
  <c r="M121" i="2"/>
  <c r="R120" i="2"/>
  <c r="O120" i="2"/>
  <c r="Q119" i="2"/>
  <c r="R119" i="2" s="1"/>
  <c r="N119" i="2"/>
  <c r="M119" i="2"/>
  <c r="R118" i="2"/>
  <c r="O118" i="2"/>
  <c r="R117" i="2"/>
  <c r="O117" i="2"/>
  <c r="R116" i="2"/>
  <c r="O116" i="2"/>
  <c r="R115" i="2"/>
  <c r="N115" i="2"/>
  <c r="N114" i="2" s="1"/>
  <c r="Q114" i="2"/>
  <c r="M114" i="2"/>
  <c r="R113" i="2"/>
  <c r="O113" i="2"/>
  <c r="R112" i="2"/>
  <c r="O112" i="2"/>
  <c r="R111" i="2"/>
  <c r="O111" i="2"/>
  <c r="R110" i="2"/>
  <c r="O110" i="2"/>
  <c r="Q109" i="2"/>
  <c r="R109" i="2" s="1"/>
  <c r="N109" i="2"/>
  <c r="M109" i="2"/>
  <c r="R107" i="2"/>
  <c r="R106" i="2" s="1"/>
  <c r="O107" i="2"/>
  <c r="O106" i="2" s="1"/>
  <c r="Q106" i="2"/>
  <c r="N106" i="2"/>
  <c r="M106" i="2"/>
  <c r="R105" i="2"/>
  <c r="O105" i="2"/>
  <c r="Q104" i="2"/>
  <c r="R104" i="2" s="1"/>
  <c r="N104" i="2"/>
  <c r="M104" i="2"/>
  <c r="R102" i="2"/>
  <c r="O102" i="2"/>
  <c r="R101" i="2"/>
  <c r="O101" i="2"/>
  <c r="Q100" i="2"/>
  <c r="R100" i="2" s="1"/>
  <c r="N100" i="2"/>
  <c r="M100" i="2"/>
  <c r="R98" i="2"/>
  <c r="O98" i="2"/>
  <c r="R97" i="2"/>
  <c r="N97" i="2"/>
  <c r="O97" i="2" s="1"/>
  <c r="R96" i="2"/>
  <c r="O96" i="2"/>
  <c r="R95" i="2"/>
  <c r="N95" i="2"/>
  <c r="N94" i="2" s="1"/>
  <c r="Q94" i="2"/>
  <c r="R94" i="2" s="1"/>
  <c r="M94" i="2"/>
  <c r="R93" i="2"/>
  <c r="O93" i="2"/>
  <c r="Q92" i="2"/>
  <c r="R92" i="2" s="1"/>
  <c r="N92" i="2"/>
  <c r="M92" i="2"/>
  <c r="R91" i="2"/>
  <c r="O91" i="2"/>
  <c r="R90" i="2"/>
  <c r="O90" i="2"/>
  <c r="R89" i="2"/>
  <c r="O89" i="2"/>
  <c r="R88" i="2"/>
  <c r="O88" i="2"/>
  <c r="N88" i="2"/>
  <c r="Q87" i="2"/>
  <c r="R87" i="2" s="1"/>
  <c r="N87" i="2"/>
  <c r="M87" i="2"/>
  <c r="R86" i="2"/>
  <c r="O86" i="2"/>
  <c r="R85" i="2"/>
  <c r="O85" i="2"/>
  <c r="Q84" i="2"/>
  <c r="R84" i="2" s="1"/>
  <c r="N84" i="2"/>
  <c r="M84" i="2"/>
  <c r="R83" i="2"/>
  <c r="O83" i="2"/>
  <c r="Q82" i="2"/>
  <c r="R82" i="2" s="1"/>
  <c r="N82" i="2"/>
  <c r="M82" i="2"/>
  <c r="R80" i="2"/>
  <c r="O80" i="2"/>
  <c r="R79" i="2"/>
  <c r="O79" i="2"/>
  <c r="N79" i="2"/>
  <c r="R78" i="2"/>
  <c r="O78" i="2"/>
  <c r="Q77" i="2"/>
  <c r="R77" i="2" s="1"/>
  <c r="N77" i="2"/>
  <c r="M77" i="2"/>
  <c r="R76" i="2"/>
  <c r="O76" i="2"/>
  <c r="R75" i="2"/>
  <c r="O75" i="2"/>
  <c r="Q74" i="2"/>
  <c r="N74" i="2"/>
  <c r="M74" i="2"/>
  <c r="Q73" i="2"/>
  <c r="R73" i="2" s="1"/>
  <c r="O73" i="2"/>
  <c r="R72" i="2"/>
  <c r="N72" i="2"/>
  <c r="O72" i="2" s="1"/>
  <c r="R71" i="2"/>
  <c r="N71" i="2"/>
  <c r="O71" i="2" s="1"/>
  <c r="Q70" i="2"/>
  <c r="Q69" i="2" s="1"/>
  <c r="O70" i="2"/>
  <c r="N69" i="2"/>
  <c r="M69" i="2"/>
  <c r="R68" i="2"/>
  <c r="O68" i="2"/>
  <c r="R67" i="2"/>
  <c r="O67" i="2"/>
  <c r="N67" i="2"/>
  <c r="R66" i="2"/>
  <c r="O66" i="2"/>
  <c r="R65" i="2"/>
  <c r="O65" i="2"/>
  <c r="Q64" i="2"/>
  <c r="R64" i="2" s="1"/>
  <c r="N64" i="2"/>
  <c r="M64" i="2"/>
  <c r="R62" i="2"/>
  <c r="O62" i="2"/>
  <c r="Q61" i="2"/>
  <c r="P61" i="2"/>
  <c r="N61" i="2"/>
  <c r="M61" i="2"/>
  <c r="O61" i="2" s="1"/>
  <c r="R60" i="2"/>
  <c r="O60" i="2"/>
  <c r="Q59" i="2"/>
  <c r="P59" i="2"/>
  <c r="N59" i="2"/>
  <c r="M59" i="2"/>
  <c r="R58" i="2"/>
  <c r="R57" i="2" s="1"/>
  <c r="O58" i="2"/>
  <c r="O57" i="2" s="1"/>
  <c r="Q57" i="2"/>
  <c r="N57" i="2"/>
  <c r="M57" i="2"/>
  <c r="R56" i="2"/>
  <c r="O56" i="2"/>
  <c r="R55" i="2"/>
  <c r="N55" i="2"/>
  <c r="O55" i="2" s="1"/>
  <c r="R54" i="2"/>
  <c r="O54" i="2"/>
  <c r="Q53" i="2"/>
  <c r="R53" i="2" s="1"/>
  <c r="N53" i="2"/>
  <c r="M53" i="2"/>
  <c r="R52" i="2"/>
  <c r="O52" i="2"/>
  <c r="R51" i="2"/>
  <c r="O51" i="2"/>
  <c r="R50" i="2"/>
  <c r="N50" i="2"/>
  <c r="O50" i="2" s="1"/>
  <c r="R49" i="2"/>
  <c r="O49" i="2"/>
  <c r="R48" i="2"/>
  <c r="O48" i="2"/>
  <c r="Q47" i="2"/>
  <c r="N47" i="2"/>
  <c r="M47" i="2"/>
  <c r="R45" i="2"/>
  <c r="R44" i="2" s="1"/>
  <c r="O45" i="2"/>
  <c r="O44" i="2" s="1"/>
  <c r="Q44" i="2"/>
  <c r="P44" i="2"/>
  <c r="N44" i="2"/>
  <c r="M44" i="2"/>
  <c r="R43" i="2"/>
  <c r="R42" i="2" s="1"/>
  <c r="O43" i="2"/>
  <c r="O42" i="2" s="1"/>
  <c r="Q42" i="2"/>
  <c r="P42" i="2"/>
  <c r="N42" i="2"/>
  <c r="M42" i="2"/>
  <c r="R40" i="2"/>
  <c r="R39" i="2" s="1"/>
  <c r="O40" i="2"/>
  <c r="O39" i="2" s="1"/>
  <c r="Q39" i="2"/>
  <c r="P39" i="2"/>
  <c r="N39" i="2"/>
  <c r="M39" i="2"/>
  <c r="R38" i="2"/>
  <c r="O38" i="2"/>
  <c r="R37" i="2"/>
  <c r="O37" i="2"/>
  <c r="Q35" i="2"/>
  <c r="P35" i="2"/>
  <c r="N35" i="2"/>
  <c r="M35" i="2"/>
  <c r="R31" i="2"/>
  <c r="R30" i="2" s="1"/>
  <c r="O31" i="2"/>
  <c r="O30" i="2" s="1"/>
  <c r="Q30" i="2"/>
  <c r="P30" i="2"/>
  <c r="N30" i="2"/>
  <c r="M30" i="2"/>
  <c r="R28" i="2"/>
  <c r="O28" i="2"/>
  <c r="R27" i="2"/>
  <c r="O27" i="2"/>
  <c r="Q26" i="2"/>
  <c r="P26" i="2"/>
  <c r="N26" i="2"/>
  <c r="M26" i="2"/>
  <c r="R25" i="2"/>
  <c r="O25" i="2"/>
  <c r="R24" i="2"/>
  <c r="O24" i="2"/>
  <c r="Q23" i="2"/>
  <c r="P23" i="2"/>
  <c r="R23" i="2" s="1"/>
  <c r="N23" i="2"/>
  <c r="M23" i="2"/>
  <c r="R21" i="2"/>
  <c r="O21" i="2"/>
  <c r="R20" i="2"/>
  <c r="O20" i="2"/>
  <c r="R19" i="2"/>
  <c r="O19" i="2"/>
  <c r="R18" i="2"/>
  <c r="O18" i="2"/>
  <c r="Q17" i="2"/>
  <c r="P17" i="2"/>
  <c r="N17" i="2"/>
  <c r="M17" i="2"/>
  <c r="R16" i="2"/>
  <c r="O16" i="2"/>
  <c r="R15" i="2"/>
  <c r="O15" i="2"/>
  <c r="Q14" i="2"/>
  <c r="N14" i="2"/>
  <c r="M14" i="2"/>
  <c r="R13" i="2"/>
  <c r="R12" i="2" s="1"/>
  <c r="O13" i="2"/>
  <c r="O12" i="2" s="1"/>
  <c r="Q12" i="2"/>
  <c r="N12" i="2"/>
  <c r="M12" i="2"/>
  <c r="R11" i="2"/>
  <c r="R10" i="2" s="1"/>
  <c r="O11" i="2"/>
  <c r="O10" i="2" s="1"/>
  <c r="Q10" i="2"/>
  <c r="N10" i="2"/>
  <c r="M10" i="2"/>
  <c r="O119" i="2" l="1"/>
  <c r="R70" i="2"/>
  <c r="R69" i="2" s="1"/>
  <c r="O95" i="2"/>
  <c r="N162" i="2"/>
  <c r="O170" i="2"/>
  <c r="O115" i="2"/>
  <c r="O114" i="2" s="1"/>
  <c r="R35" i="2"/>
  <c r="Q202" i="2"/>
  <c r="O94" i="2"/>
  <c r="O92" i="2"/>
  <c r="M29" i="2"/>
  <c r="O35" i="2"/>
  <c r="O17" i="2"/>
  <c r="O26" i="2"/>
  <c r="O77" i="2"/>
  <c r="M81" i="2"/>
  <c r="R17" i="2"/>
  <c r="O125" i="2"/>
  <c r="O169" i="2"/>
  <c r="Q29" i="2"/>
  <c r="Q22" i="2"/>
  <c r="M9" i="2"/>
  <c r="R136" i="2"/>
  <c r="M130" i="2"/>
  <c r="O130" i="2" s="1"/>
  <c r="O100" i="2"/>
  <c r="O109" i="2"/>
  <c r="O84" i="2"/>
  <c r="R114" i="2"/>
  <c r="R74" i="2"/>
  <c r="O127" i="2"/>
  <c r="M140" i="2"/>
  <c r="O140" i="2" s="1"/>
  <c r="Q130" i="2"/>
  <c r="R130" i="2" s="1"/>
  <c r="O136" i="2"/>
  <c r="M46" i="2"/>
  <c r="O53" i="2"/>
  <c r="R61" i="2"/>
  <c r="O59" i="2"/>
  <c r="N41" i="2"/>
  <c r="N29" i="2"/>
  <c r="O29" i="2" s="1"/>
  <c r="M22" i="2"/>
  <c r="R26" i="2"/>
  <c r="N22" i="2"/>
  <c r="O14" i="2"/>
  <c r="O9" i="2" s="1"/>
  <c r="R14" i="2"/>
  <c r="N9" i="2"/>
  <c r="O47" i="2"/>
  <c r="O162" i="2"/>
  <c r="O152" i="2"/>
  <c r="R47" i="2"/>
  <c r="O74" i="2"/>
  <c r="O69" i="2"/>
  <c r="O64" i="2"/>
  <c r="Q63" i="2"/>
  <c r="M63" i="2"/>
  <c r="N63" i="2"/>
  <c r="M41" i="2"/>
  <c r="Q41" i="2"/>
  <c r="P41" i="2"/>
  <c r="O202" i="2"/>
  <c r="O87" i="2"/>
  <c r="O82" i="2"/>
  <c r="O104" i="2"/>
  <c r="O189" i="2"/>
  <c r="M188" i="2"/>
  <c r="O197" i="2"/>
  <c r="N188" i="2"/>
  <c r="Q188" i="2"/>
  <c r="O146" i="2"/>
  <c r="M108" i="2"/>
  <c r="O121" i="2"/>
  <c r="N108" i="2"/>
  <c r="M99" i="2"/>
  <c r="N99" i="2"/>
  <c r="Q99" i="2"/>
  <c r="R99" i="2" s="1"/>
  <c r="R59" i="2"/>
  <c r="N46" i="2"/>
  <c r="Q46" i="2"/>
  <c r="R46" i="2" s="1"/>
  <c r="P29" i="2"/>
  <c r="R29" i="2" s="1"/>
  <c r="P22" i="2"/>
  <c r="R22" i="2" s="1"/>
  <c r="O23" i="2"/>
  <c r="R188" i="2"/>
  <c r="M151" i="2"/>
  <c r="N151" i="2"/>
  <c r="O173" i="2"/>
  <c r="O182" i="2"/>
  <c r="M177" i="2"/>
  <c r="O184" i="2"/>
  <c r="R184" i="2"/>
  <c r="N177" i="2"/>
  <c r="O178" i="2"/>
  <c r="Q140" i="2"/>
  <c r="R140" i="2" s="1"/>
  <c r="R141" i="2"/>
  <c r="R131" i="2"/>
  <c r="N81" i="2"/>
  <c r="Q9" i="2"/>
  <c r="R9" i="2" s="1"/>
  <c r="Q151" i="2"/>
  <c r="R151" i="2" s="1"/>
  <c r="Q177" i="2"/>
  <c r="Q81" i="2"/>
  <c r="R81" i="2" s="1"/>
  <c r="R202" i="2"/>
  <c r="R178" i="2"/>
  <c r="Q108" i="2"/>
  <c r="O81" i="2" l="1"/>
  <c r="R63" i="2"/>
  <c r="O46" i="2"/>
  <c r="O108" i="2"/>
  <c r="R177" i="2"/>
  <c r="O63" i="2"/>
  <c r="O41" i="2"/>
  <c r="R41" i="2"/>
  <c r="O22" i="2"/>
  <c r="M210" i="2"/>
  <c r="O99" i="2"/>
  <c r="O188" i="2"/>
  <c r="P210" i="2"/>
  <c r="O151" i="2"/>
  <c r="N210" i="2"/>
  <c r="O177" i="2"/>
  <c r="Q210" i="2"/>
  <c r="R108" i="2"/>
  <c r="R210" i="2" l="1"/>
  <c r="O210" i="2"/>
</calcChain>
</file>

<file path=xl/sharedStrings.xml><?xml version="1.0" encoding="utf-8"?>
<sst xmlns="http://schemas.openxmlformats.org/spreadsheetml/2006/main" count="2016" uniqueCount="487">
  <si>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</si>
  <si>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</si>
  <si>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</si>
  <si>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</si>
  <si>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</si>
  <si>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</si>
  <si>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</si>
  <si>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</si>
  <si>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</si>
  <si>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</si>
  <si>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</si>
  <si>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</si>
  <si>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</si>
  <si>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</si>
  <si>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</si>
  <si>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</si>
  <si>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</si>
  <si>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</si>
  <si>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</si>
  <si>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</si>
  <si>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</si>
  <si>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</si>
  <si>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</si>
  <si>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</si>
  <si>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</si>
  <si>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</si>
  <si>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</si>
  <si>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</si>
  <si>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</si>
  <si>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</si>
  <si>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</si>
  <si>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</si>
  <si>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</si>
  <si>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</si>
  <si>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</si>
  <si>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</si>
  <si>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</si>
  <si>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</si>
  <si>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</si>
  <si>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</si>
  <si>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</si>
  <si>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</si>
  <si>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</si>
  <si>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</si>
  <si>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</si>
  <si>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</si>
  <si>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</si>
  <si>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</si>
  <si>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</si>
  <si>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</si>
  <si>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</si>
  <si>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</si>
  <si>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</si>
  <si>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</si>
  <si>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</si>
  <si>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</si>
  <si>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</si>
  <si>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</si>
  <si>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</si>
  <si>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</si>
  <si>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</si>
  <si>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</si>
  <si>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</si>
  <si>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</si>
  <si>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</si>
  <si>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</si>
  <si>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</si>
  <si>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</si>
  <si>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</si>
  <si>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</si>
  <si>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</si>
  <si>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</si>
  <si>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</si>
  <si>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</si>
  <si>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</si>
  <si>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</si>
  <si>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</si>
  <si>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</si>
  <si>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</si>
  <si>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</si>
  <si>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</si>
  <si>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</si>
  <si>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</si>
  <si>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</si>
  <si>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</si>
  <si>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</si>
  <si>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</si>
  <si>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</si>
  <si>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</si>
  <si>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</si>
  <si>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</si>
  <si>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</si>
  <si>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</si>
  <si>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</si>
  <si>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</si>
  <si>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</si>
  <si>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</si>
  <si>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</si>
  <si>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</si>
  <si>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</si>
  <si>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</si>
  <si>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</si>
  <si>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</si>
  <si>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</si>
  <si>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</si>
  <si>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</si>
  <si>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</si>
  <si>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</si>
  <si>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</si>
  <si>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</si>
  <si>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</si>
  <si>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</si>
  <si>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</si>
  <si>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</si>
  <si>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</si>
  <si>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</si>
  <si>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</si>
  <si>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</si>
  <si>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</si>
  <si>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</si>
  <si>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</si>
  <si>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</si>
  <si>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</si>
  <si>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</si>
  <si>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</si>
  <si>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</si>
  <si>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</si>
  <si>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</si>
  <si>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</si>
  <si>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</si>
  <si>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</si>
  <si>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</si>
  <si>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</si>
  <si>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</si>
  <si>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</si>
  <si>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</si>
  <si>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</si>
  <si>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</si>
  <si>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</si>
  <si>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</si>
  <si>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</si>
  <si>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</si>
  <si>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</si>
  <si>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</si>
  <si>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</si>
  <si>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</si>
  <si>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</si>
  <si>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</si>
  <si>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</si>
  <si>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</si>
  <si>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</si>
  <si>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</si>
  <si>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</si>
  <si>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</si>
  <si>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</si>
  <si>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</si>
  <si>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</si>
  <si>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</si>
  <si>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</si>
  <si>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</si>
  <si>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</si>
  <si>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</si>
  <si>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</si>
  <si>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</si>
  <si>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</si>
  <si>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</si>
  <si>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</si>
  <si>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</si>
  <si>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</si>
  <si>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</si>
  <si>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</si>
  <si>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</si>
  <si>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</si>
  <si>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</si>
  <si>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</si>
  <si>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</si>
  <si>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</si>
  <si>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</si>
  <si>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</si>
  <si>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</si>
  <si>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</si>
  <si>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</si>
  <si>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</si>
  <si>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</si>
  <si>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</si>
  <si>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</si>
  <si>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</si>
  <si>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</si>
  <si>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</si>
  <si>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</si>
  <si>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</si>
  <si>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</si>
  <si>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</si>
  <si>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</si>
  <si>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</si>
  <si>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</si>
  <si>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</si>
  <si>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</si>
  <si>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</si>
  <si>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</si>
  <si>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</si>
  <si>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</si>
  <si>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</si>
  <si>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</si>
  <si>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</si>
  <si>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</si>
  <si>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</si>
  <si>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</si>
  <si>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</si>
  <si>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</si>
  <si>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</si>
  <si>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</si>
  <si>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</si>
  <si>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</si>
  <si>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</si>
  <si>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</si>
  <si>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</si>
  <si>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</si>
  <si>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</si>
  <si>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</si>
  <si>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</si>
  <si>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</si>
  <si>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</si>
  <si>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</si>
  <si>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</si>
  <si>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</si>
  <si>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</si>
  <si>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</si>
  <si>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</si>
  <si>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</si>
  <si>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</si>
  <si>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</si>
  <si>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</si>
  <si>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</si>
  <si>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</si>
  <si>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</si>
  <si>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</si>
  <si>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</si>
  <si>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</si>
  <si>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</si>
  <si>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</si>
  <si>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</si>
  <si>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</si>
  <si>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</si>
  <si>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</si>
  <si>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</si>
  <si>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</si>
  <si>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</si>
  <si>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</si>
  <si>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</si>
  <si>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</si>
  <si>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</si>
  <si>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</si>
  <si>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</si>
  <si>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</si>
  <si>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</si>
  <si>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</si>
  <si>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</si>
  <si>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</si>
  <si>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</si>
  <si>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</si>
  <si>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</si>
  <si>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</si>
  <si>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</si>
  <si>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</si>
  <si>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</si>
  <si>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</si>
  <si>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</si>
  <si>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</si>
  <si>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</si>
  <si>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</si>
  <si>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</si>
  <si>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</si>
  <si>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</si>
  <si>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</si>
  <si>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</si>
  <si>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</si>
  <si>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</si>
  <si>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</si>
  <si>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</si>
  <si>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</si>
  <si>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</si>
  <si>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</si>
  <si>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</si>
  <si>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</si>
  <si>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</si>
  <si>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</si>
  <si>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</si>
  <si>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</si>
  <si>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</si>
  <si>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</si>
  <si>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</si>
  <si>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</si>
  <si>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</si>
  <si>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</si>
  <si>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</si>
  <si>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</si>
  <si>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</si>
  <si>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</si>
  <si>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</si>
  <si>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</si>
  <si>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</si>
  <si>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</si>
  <si>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</si>
  <si>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</si>
  <si>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</si>
  <si>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</si>
  <si>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</si>
  <si>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</si>
  <si>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</si>
  <si>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</si>
  <si>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</si>
  <si>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</si>
  <si>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</si>
  <si>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</si>
  <si>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</si>
  <si>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</si>
  <si>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</si>
  <si>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</si>
  <si>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</si>
  <si>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</si>
  <si>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</si>
  <si>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</si>
  <si>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</si>
  <si>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</si>
  <si>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</si>
  <si>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</si>
  <si>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</si>
  <si>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</si>
  <si>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</si>
  <si>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</si>
  <si>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</si>
  <si>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</si>
  <si>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</si>
  <si>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</si>
  <si>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</si>
  <si>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</si>
  <si>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</si>
  <si>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</si>
  <si>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</si>
  <si>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</si>
  <si>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</si>
  <si>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</si>
  <si>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</si>
  <si>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</si>
  <si>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</si>
  <si>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</si>
  <si>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</si>
  <si>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</si>
  <si>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</si>
  <si>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</si>
  <si>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</si>
  <si>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</si>
  <si>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</si>
  <si>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</si>
  <si>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</si>
  <si>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</si>
  <si>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</si>
  <si>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</si>
  <si>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</si>
  <si>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</si>
  <si>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</si>
  <si>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</si>
  <si>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</si>
  <si>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</si>
  <si>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</si>
  <si>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</si>
  <si>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</si>
  <si>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</si>
  <si>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</si>
  <si>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</si>
  <si>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</si>
  <si>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</si>
  <si>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</si>
  <si>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</si>
  <si>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</si>
  <si>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</si>
  <si>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</si>
  <si>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</si>
  <si>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</si>
  <si>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</si>
  <si>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</si>
  <si>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</si>
  <si>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</si>
  <si>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</si>
  <si>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основное мероприятие "Обеспечение деятельности контрольно-счетной палаты города Мегиона"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</si>
  <si>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</si>
  <si>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Решение Думы города Мегиона от 28.10.2022 №237 (уточненный бюджет)                                                      (тыс. рублей)</t>
  </si>
  <si>
    <t>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бюджета).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</si>
  <si>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</si>
  <si>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</si>
  <si>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</si>
  <si>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(-) 100,0 тыс. рублей - уменьшен объем целевых межбюджетных трансфертов на осуществление отдельных государственных полномочий в сфере трудовых отношений и государственного управления охраной труда (средства автономного округа)</t>
  </si>
  <si>
    <t>(-) 700,0 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</si>
  <si>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(+) 3 170,6 тыс. рублей - увеличен объем бюджетных ассигнований для оплаты услуг за потребление электроэнергии на уличное освещение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</si>
  <si>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</t>
  </si>
  <si>
    <t>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</si>
  <si>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</t>
  </si>
  <si>
    <t>(-) 41,4 тыс. рублей - уменьшен объем целевых межбюджетных трансфертов на поддержку и развитие животноводства  (средства автономного округа)</t>
  </si>
  <si>
    <t>(+) 46,2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</si>
  <si>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>(+) 749,3 тыс. рублей - увеличен объем бюджетных ассигнований на финансовую поддержку субъектов малого и среднего предпринимательства (средства бюджета автономного округа)</t>
  </si>
  <si>
    <t>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</si>
  <si>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>(+) 200 000,0 тыс. рублей - увеличен объем бюджетных ассигнований на обеспечение устойчивого сокращения непригодного для проживания жилищного фонда (из них 39 630,0 тыс .рублей - средства, поступившие от публично-правовой компании «Фонд развития территорий», 146 370,0 тыс. рублей - средства бюджета автономного округа, 14 000,0 тыс. рублей - средства местного бюджета)</t>
  </si>
  <si>
    <t>(-) 76,5 тыс .рублей - уменьшен объем бюджетных ассигнований для оплаты первоочередных расходов (средства местного бюджета)</t>
  </si>
  <si>
    <t>(-) 84,4 тыс. рублей - уменьшен объем бюджетных ассигнований для оплаты первоочередных расходов (средства местного бюджета)</t>
  </si>
  <si>
    <t>(-) 100,0 тыс. рублей - уменьшен объем бюджетных ассигнований для оплаты первоочередных расходов (средства местного бюджета)</t>
  </si>
  <si>
    <t>(-) 402,0 тыс. рублей - уменьшен объем бюджетных ассигнований с ликвидации свалок для оплаты первоочередных расходов (средства местного бюджета)</t>
  </si>
  <si>
    <t>(-) 0,5 тыс .рублей - уменьшен объем бюджетных ассигнований для оплаты первоочередных расходов (средства местного бюджета)</t>
  </si>
  <si>
    <t xml:space="preserve">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для оплаты первоочередных расходов (средства местного бюджета)      </t>
  </si>
  <si>
    <r>
      <t xml:space="preserve">(-) 3,0 тыс.рублей - 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 для выплаты заработной платы и начислений на выплаты по оплате труда (средства местного бюджета)     </t>
    </r>
  </si>
  <si>
    <r>
  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, для выплаты заработной платы и начислений на выплаты по оплате труда (средства местного бюджета);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</si>
  <si>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</si>
  <si>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8,70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</si>
  <si>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(+) 28,7 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</si>
  <si>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(-) 20,0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</si>
  <si>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(-) 8,8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Тюмеской области на приобретение иллюстраций к книге для МАУ "Региональный историко-культурный и экологический центр" 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</si>
  <si>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</si>
  <si>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541,0 тыс.рублей -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тыс.рублей - увеличен объем бюджетных ассигнований на производство и трансляцию информационных материалов на телеканалах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1 285,0 тыс.рублей - увеличен объем бюджетных ассигнований на заработную плату и начисления на оплату труда (средства местного бюджета)  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</si>
  <si>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</si>
  <si>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</si>
  <si>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</si>
  <si>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0,5 тыс. рублей - увеличен объем бюджетных ассигнований путем внутреннего перераспределения для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14,8 тыс .рублей - увеличен объем бюджетных ассигнований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</si>
  <si>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578,4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</si>
  <si>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(+) 0,1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</si>
  <si>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r>
      <t xml:space="preserve">(-) 0,1 тыс. рублей -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</si>
  <si>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 </t>
  </si>
  <si>
    <t xml:space="preserve">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  </t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</si>
  <si>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</si>
  <si>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(+)20,0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</si>
  <si>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</t>
  </si>
  <si>
    <t xml:space="preserve">(-)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Тюменской области на приобретение иллюстраций к книге для МАУ "Региональный историко-культурный и экологический центр"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</si>
  <si>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</t>
  </si>
  <si>
    <t>(-) 41,4 тыс. рублей - уменьшен объем целевых межбюджетных трансфертов на поддержку и развитие животноводства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</si>
  <si>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</t>
  </si>
  <si>
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</si>
  <si>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</t>
  </si>
  <si>
    <t>(-) 0,2 тыс.рублей -  уменьшен объем бюджетных ассигнований для заключения муниципального контракта на выполнение работ по разработке топливно-энергетического баланса муниципального образования город Мегион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</si>
  <si>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 на улучшение жилищных условий детей-сирот по решению суда (средства местного бюджета)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</si>
  <si>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на улучшение жилищных условий детей-сирот по решению суда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</si>
  <si>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</t>
  </si>
  <si>
    <t>(-) 184,4 тыс. рублей - уменьшен объем бюджетных ассигнований для оплаты первоочередных расходов (средства местного бюджета)</t>
  </si>
  <si>
    <t>(+) 2 206,3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</t>
  </si>
  <si>
    <t xml:space="preserve">(+) 494,0 тыс. рублей - увеличен объем бюджетных ассигнований на заработную плату и начисления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(+) 1 068,1 тыс. рублей -  увеличен объем бюджетных ассигнований на заработную плату и начисления за счет перераспределения средств (средства местного бюджета)  </t>
  </si>
  <si>
    <t>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2124,7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(-) 953,6 тыс.рублей - уменьшен объем бюджетных ассигнований за счет перераспределения на выплату заработной платы и начислений.</t>
  </si>
  <si>
    <t>(-) 114,5 тыс.рублей - уменьшен объем бюджетных ассигнований за счет перераспределения на выплату заработной платы и начислений.</t>
  </si>
  <si>
    <t xml:space="preserve"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</si>
  <si>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</t>
  </si>
  <si>
    <t>(+) 2 206,3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2 618,7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бюджета);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бюджета).</t>
  </si>
  <si>
    <t xml:space="preserve">(+) 14,8 тыс .рублей - увеличен объем бюджетных ассигнований на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578,4 тыс. рублей - увеличен объем бюджетных ассигнований на заработную плату и начисления на оплату труда Контрольно-счетной палате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</t>
  </si>
  <si>
    <t>(-) 3 961,6 тыс .рублей - уменьшен объем бюджетных ассигнований с  благоустройства территорий общего пользования для оплаты первоочередных расходов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</si>
  <si>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</si>
  <si>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</si>
  <si>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бюджета);                                                                                                                                             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</si>
  <si>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214,7 тыс .рублей - уменьшен объем бюджетных ассигнований путем внутреннего перераспределения на содержание дорог (средства местного бюджета)</t>
  </si>
  <si>
    <t>(+) 170 000,0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</si>
  <si>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приложение  2</t>
  </si>
  <si>
    <t>Решение Думы города Мегиона от 07.12.2022 №243 (уточненный бюджет)                                                      (тыс. рублей)</t>
  </si>
  <si>
    <t>ЕВ</t>
  </si>
  <si>
    <t xml:space="preserve">Региональный проект "Патриотическое воспитание граждан Российской Федерации"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   
</t>
  </si>
  <si>
    <t>(+) 203,6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</si>
  <si>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 3 532,0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(+) 560,9 тыс. рублей – увеличен объем целевых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(средства федерального бюджета и бюджета автономного округа);                                                                                              (-) 203,6 тыс. рублей - уменьшен объем бюджетных ассигнований за счет перераспределения на релизацию мероприятий в области образования и молодежной политики.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</si>
  <si>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9,0 тыс. рублей - увеличен объем бюджетных ассигнований для оплаты услуг связи по передаче данных для стабильного функционирования ЕДДС (средства местного бюджета)</t>
  </si>
  <si>
    <t>(-) 9,0 тыс. рублей - уменьшен объем бюджетных ассигнований для оплаты услуг связи по передаче данных для стабильного функционирования ЕДДС (средства местного бюджета)</t>
  </si>
  <si>
    <t>(+) 107 000,0 тыс. рублей - увеличен объем целевых межбюджетных трансфертов в целях оплаты задолженности организаций коммунального комплекса за потребленные топливно-энергетические ресурсы перед гарантирующими поставщиками за счет средств резервного фонда Правительства Ханты-Мансийского автономного округа - Югры (средства автономного округа).</t>
  </si>
  <si>
    <t>(-) 4,9 тыс. рублей - уменьшен объем бюджетных ассигнований на оплату услуг по строительно-технической экспертизе (средства местного бюджета)</t>
  </si>
  <si>
    <t xml:space="preserve">(+) 305,1 тыс. рублей - увеличен объем бюджетных ассигнований за счет перераспределения на заработную плату и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</t>
  </si>
  <si>
    <t xml:space="preserve">(+) 305,1 тыс. рублей - увеличен объем бюджетных ассигнований за счет перераспределения на заработную плату и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4,9 тыс. рублей - уменьшен объем бюджетных ассигнований на оплату услуг по строительно-технической экспертизе (средства местного бюджета)    </t>
  </si>
  <si>
    <t>(-) 693,0 тыс. рублей - уменьшен объем бюджетных ассигнований для оплаты командировочных расходов и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</t>
  </si>
  <si>
    <t>(+) 66,5 тыс. рублей - увеличен объем бюджетных ассигнований за счет перераспределения на оплату услуг по строительно-технической экспертизе (средства местного бюджета);                                                                                                                                                                                         (+) 218,0 тыс. рублей - увеличен объем бюджетных ассигнований за счет перераспределения на оплату взносов на формирование фонда капитального ремонта (средства местного бюджета)</t>
  </si>
  <si>
    <t>(-) 23,8 тыс. рублей - уменьшен объем бюджетных ассигнований за счет перераспределения на оплату командировочных расходов работникам администрации города (средства местного бюджета)</t>
  </si>
  <si>
    <t>(-) 61,6 тыс. рублей - уменьшен объем бюджетных ассигнований за счет перераспределения на оплату услуг по строительно-технической экспертизе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(-) 693,0 тыс. рублей - уменьшен объем бюджетных ассигнований за счет перераспределения для оплаты командировочных расходов и компенсации расходов на оплату стоимости проезда и провоза багажа к месту использования отпуска и обратно работникам администрации города (средства местного бюджета)</t>
  </si>
  <si>
    <t>(+) 66,5 тыс. рублей - увеличен объем бюджетных ассигнований за счет перераспределения на оплату услуг по строительно-технической экспертизе (средства местного бюджета);                                                                                                                                                                                        (+) 218,0 тыс. рублей - увеличен объем бюджетных ассигнований за счет перераспределения на оплату взносов на формирование фонда капитального ремонта (средства местного бюджета)</t>
  </si>
  <si>
    <t>(+) 10,0 тыс. рублей - увеличен объем бюджетных ассигнований на оплату коммунальных услуг, в связи с индексацией тарифов с 01.12.2022 (средства местного бюджета)</t>
  </si>
  <si>
    <t>(+) 2,0 тыс. рублей - увеличен объем бюджетных ассигнований на оплату коммунальных услуг, в связи с индексацией тарифов с 01.12.2022 (средства местного бюджета)</t>
  </si>
  <si>
    <t>(+) 190,0 тыс.рублей - увеличен объем бюджетных ассигнований на оплату коммунальных услуг, в связи с индексацией тарифов с 01.12.2022 (средства местного бюджета)</t>
  </si>
  <si>
    <t>(+) 7,0 тыс.рублей - увеличен объем бюджетных ассигнований на обеспечение потребности по оплате коммунальных услуг муниципальными учреждениями с учетом индексации тарифов с 1 декабря 2022 года (средства местного бюджета).</t>
  </si>
  <si>
    <t>(-) 94,0 тыс. рублей - уменьшен объем бюджетных ассигнований за счет перераспределения на заработную плату и начисления на опалату труда (средства местного бюджета)</t>
  </si>
  <si>
    <t>(+) 117,3 тыс. рублей - увеличен объем бюджетных ассигнований за счет внутреннего перераспределения на заработную плату и начисления на оплату труда 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118,8 тыс. рублей - увеличен объем бюджетных ассигнований за счет перераспределения на оплату командировочных расходов работникам администрации города  (средства местного бюджета);                                                                                                                                                     (+) 380,0 тыс. рублей - увеличен объем бюджетных ассигнований за счет перераспределения для компенсации расходов на оплату стоимости проезда и провоза багажа к месту использования отпуска и обратно работникам администрации города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1 257,8 тыс. рублей - увеличен объем бюджетных ассигнований на заработную плату и начисления на оплату труда (средства местного бюджета)</t>
  </si>
  <si>
    <t>(+) 374,0 тыс. рублей - увеличен объем бюджетных ассигнований на оплату коммунальных услуг, в связи с индексацией тарифов с 01.12.2022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1 160,0 тыс. рублей - уменьшен объем бюджетных ассигнований за счет перераспределения на заработную плату и начисления на оплату труда (средства местного бюджета)</t>
  </si>
  <si>
    <t>(-) 3,8 тыс. рублей - уменьшен объем бюджетных ассигнований за счет перераспределения на заработную плату и начисления на оплату труда (средства местного бюджета)</t>
  </si>
  <si>
    <t>(-) 152,4 тыс. рублей - уменьшен объем бюджетных ассигнований за счет перераспределения для выплаты заработной платы и начисленияй на оплату труда (средства местного бюджета);                                                                                                                                                                                                  (+) 109,0 тыс. рублей - увеличен объем бюджетных ассигнований на оплату коммунальных услуг, в связи с индексацией тарифов с 01.12.2022 (средства местного бюджета)</t>
  </si>
  <si>
    <t xml:space="preserve">(-) 270,0 тыс. рублей - уменьшен объем бюджетных ассигнований за счет перераспределения для выплаты заработной платы и начисленияй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увеличен объем бюджетных ассигнований на обеспечение потребности по оплате коммунальных услуг муниципальными учреждениями с учетом индексации тарифов с 1 декабря 2022 года (средства местного бюджета) </t>
  </si>
  <si>
    <t xml:space="preserve">(+)  3 532,0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560,9 тыс. рублей – увеличен объем целевых межбюджетных трансфертов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(средства федерального бюджета и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203,6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                                  (+) 1 005,0 тыс.рублей - увеличен объем бюджетных ассигнований на обеспечение потребности по оплате коммунальных услуг муниципальными учреждениями с учетом индексации тарифов с 1 декабря 2022 года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94,0 тыс. рублей - уменьшен объем бюджетных ассигнований за счет перераспределения на заработную плату и начисления на опалату труда (средства местного бюджета)       </t>
  </si>
  <si>
    <t xml:space="preserve">(+) 1 375,1 тыс. рублей - увеличен объем бюджетных ассигнований за счет перераспределения на заработную плату и начисления на оплату труда 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118,8 тыс. рублей - увеличен объем бюджетных ассигнований за счет перераспределения на оплату командировочных расходов работникам администрации города  (средства местного бюджета);                                                                                                                                                                             (+) 380,0 тыс. рублей - увеличен объем бюджетных ассигнований за счет перераспределения для компенсации расходов на оплату стоимости проезда и провоза багажа к месту использования отпуска и обратно работникам администрации города 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</si>
  <si>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374,0 тыс. рублей - увеличен объем бюджетных ассигнований на оплату коммунальных услуг, в связи с индексацией тарифов с 01.12.2022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(-) 1 160,0 тыс. рублей - уменьшен объем бюджетных ассигнований за счет внутреннего перераспределения на заработную плату и начисления на оплату труда (средства местного бюджета)</t>
  </si>
  <si>
    <t>(-) 3,8 тыс. рублей - уменьшен объем бюджетных ассигнований за счет внутреннего перераспределения на заработную плату и начисления на оплату труда (средства местного бюджета)</t>
  </si>
  <si>
    <t xml:space="preserve">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</si>
</sst>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248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vertical="center"/>
      <protection hidden="1"/>
    </xf>
    <xf numFmtId="164" fontId="3" fillId="0" borderId="36" xfId="1" applyNumberFormat="1" applyFont="1" applyFill="1" applyBorder="1" applyAlignment="1" applyProtection="1">
      <alignment vertical="center"/>
      <protection hidden="1"/>
    </xf>
    <xf numFmtId="0" fontId="10" fillId="0" borderId="3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8" fontId="1" fillId="0" borderId="0" xfId="1" applyNumberFormat="1" applyFill="1"/>
    <xf numFmtId="0" fontId="1" fillId="0" borderId="14" xfId="1" applyFill="1" applyBorder="1" applyProtection="1">
      <protection hidden="1"/>
    </xf>
    <xf numFmtId="166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6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6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vertical="top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Alignment="1">
      <alignment horizontal="right"/>
    </xf>
    <xf numFmtId="164" fontId="3" fillId="0" borderId="45" xfId="1" applyNumberFormat="1" applyFont="1" applyFill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5" fillId="0" borderId="7" xfId="1" applyNumberFormat="1" applyFont="1" applyFill="1" applyBorder="1" applyAlignment="1" applyProtection="1">
      <alignment vertical="center"/>
      <protection hidden="1"/>
    </xf>
    <xf numFmtId="164" fontId="5" fillId="0" borderId="46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45" xfId="1" applyNumberFormat="1" applyFont="1" applyFill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165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2" xfId="1" applyNumberFormat="1" applyFont="1" applyFill="1" applyBorder="1" applyAlignment="1" applyProtection="1">
      <alignment vertical="center"/>
      <protection hidden="1"/>
    </xf>
    <xf numFmtId="164" fontId="2" fillId="0" borderId="12" xfId="1" applyNumberFormat="1" applyFont="1" applyFill="1" applyBorder="1" applyAlignment="1" applyProtection="1">
      <alignment vertical="center"/>
      <protection hidden="1"/>
    </xf>
    <xf numFmtId="164" fontId="2" fillId="0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Fill="1" applyBorder="1" applyAlignment="1">
      <alignment wrapText="1"/>
    </xf>
    <xf numFmtId="0" fontId="10" fillId="0" borderId="8" xfId="0" applyFont="1" applyFill="1" applyBorder="1" applyAlignment="1">
      <alignment vertical="top" wrapText="1"/>
    </xf>
    <xf numFmtId="0" fontId="5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5" fillId="0" borderId="26" xfId="1" applyNumberFormat="1" applyFont="1" applyFill="1" applyBorder="1" applyAlignment="1" applyProtection="1">
      <alignment horizontal="center" vertical="center" wrapText="1"/>
      <protection hidden="1"/>
    </xf>
    <xf numFmtId="40" fontId="2" fillId="0" borderId="41" xfId="1" applyNumberFormat="1" applyFont="1" applyFill="1" applyBorder="1" applyAlignment="1" applyProtection="1">
      <alignment horizontal="right" vertical="center"/>
      <protection hidden="1"/>
    </xf>
    <xf numFmtId="40" fontId="2" fillId="0" borderId="43" xfId="1" applyNumberFormat="1" applyFont="1" applyFill="1" applyBorder="1" applyAlignment="1" applyProtection="1">
      <alignment horizontal="right" vertical="center"/>
      <protection hidden="1"/>
    </xf>
    <xf numFmtId="40" fontId="2" fillId="0" borderId="44" xfId="1" applyNumberFormat="1" applyFont="1" applyFill="1" applyBorder="1" applyAlignment="1" applyProtection="1">
      <alignment vertical="center"/>
      <protection hidden="1"/>
    </xf>
    <xf numFmtId="164" fontId="2" fillId="0" borderId="48" xfId="1" applyNumberFormat="1" applyFont="1" applyFill="1" applyBorder="1" applyAlignment="1" applyProtection="1">
      <alignment vertical="center"/>
      <protection hidden="1"/>
    </xf>
    <xf numFmtId="164" fontId="3" fillId="0" borderId="46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horizontal="right" vertical="center"/>
      <protection hidden="1"/>
    </xf>
    <xf numFmtId="164" fontId="3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5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41" xfId="1" applyNumberFormat="1" applyFont="1" applyFill="1" applyBorder="1" applyAlignment="1" applyProtection="1">
      <alignment horizontal="center" vertical="center"/>
      <protection hidden="1"/>
    </xf>
    <xf numFmtId="0" fontId="9" fillId="2" borderId="42" xfId="1" applyNumberFormat="1" applyFont="1" applyFill="1" applyBorder="1" applyAlignment="1" applyProtection="1">
      <alignment horizontal="center" vertical="center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3" fillId="0" borderId="26" xfId="1" applyNumberFormat="1" applyFont="1" applyFill="1" applyBorder="1" applyAlignment="1" applyProtection="1">
      <alignment horizontal="right" vertical="center"/>
      <protection hidden="1"/>
    </xf>
    <xf numFmtId="0" fontId="0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5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0" borderId="23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19" xfId="1" applyNumberFormat="1" applyFont="1" applyFill="1" applyBorder="1" applyAlignment="1" applyProtection="1">
      <alignment horizontal="right" vertical="center"/>
      <protection hidden="1"/>
    </xf>
    <xf numFmtId="164" fontId="3" fillId="0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1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top" wrapText="1"/>
      <protection hidden="1"/>
    </xf>
    <xf numFmtId="0" fontId="3" fillId="0" borderId="19" xfId="1" applyNumberFormat="1" applyFont="1" applyFill="1" applyBorder="1" applyAlignment="1" applyProtection="1">
      <alignment horizontal="center" vertical="top" wrapText="1"/>
      <protection hidden="1"/>
    </xf>
    <xf numFmtId="0" fontId="9" fillId="0" borderId="40" xfId="1" applyNumberFormat="1" applyFont="1" applyFill="1" applyBorder="1" applyAlignment="1" applyProtection="1">
      <alignment horizontal="center" vertical="center"/>
      <protection hidden="1"/>
    </xf>
    <xf numFmtId="0" fontId="9" fillId="0" borderId="41" xfId="1" applyNumberFormat="1" applyFont="1" applyFill="1" applyBorder="1" applyAlignment="1" applyProtection="1">
      <alignment horizontal="center" vertical="center"/>
      <protection hidden="1"/>
    </xf>
    <xf numFmtId="0" fontId="9" fillId="0" borderId="42" xfId="1" applyNumberFormat="1" applyFont="1" applyFill="1" applyBorder="1" applyAlignment="1" applyProtection="1">
      <alignment horizontal="center" vertical="center"/>
      <protection hidden="1"/>
    </xf>
    <xf numFmtId="166" fontId="5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8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29" xfId="1" applyNumberFormat="1" applyFont="1" applyFill="1" applyBorder="1" applyAlignment="1" applyProtection="1">
      <alignment horizontal="left" vertical="center" wrapText="1"/>
      <protection hidden="1"/>
    </xf>
  </cellXfs>
  <cellStyles count="46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8"/>
  <sheetViews>
    <sheetView showGridLines="0" topLeftCell="D1" zoomScaleNormal="100" zoomScaleSheetLayoutView="100" workbookViewId="0">
      <selection activeCell="V1" sqref="V1"/>
    </sheetView>
  </sheetViews>
  <sheetFormatPr defaultColWidth="9.109375" defaultRowHeight="13.2" outlineLevelRow="3" outlineLevelCol="1" x14ac:dyDescent="0.25"/>
  <cols>
    <col min="1" max="1" width="2.88671875" style="36" hidden="1" customWidth="1"/>
    <col min="2" max="2" width="1.5546875" style="36" hidden="1" customWidth="1"/>
    <col min="3" max="3" width="6.109375" style="36" hidden="1" customWidth="1"/>
    <col min="4" max="4" width="0.109375" style="36" customWidth="1"/>
    <col min="5" max="7" width="2.6640625" style="36" customWidth="1"/>
    <col min="8" max="8" width="50.88671875" style="36" customWidth="1"/>
    <col min="9" max="9" width="21.5546875" style="36" hidden="1" customWidth="1"/>
    <col min="10" max="10" width="6.109375" style="36" customWidth="1"/>
    <col min="11" max="12" width="4.88671875" style="36" customWidth="1"/>
    <col min="13" max="15" width="13.44140625" style="36" hidden="1" customWidth="1" outlineLevel="1"/>
    <col min="16" max="16" width="13.44140625" style="36" hidden="1" customWidth="1" outlineLevel="1" collapsed="1"/>
    <col min="17" max="18" width="13.44140625" style="36" hidden="1" customWidth="1" outlineLevel="1"/>
    <col min="19" max="19" width="13.44140625" style="36" customWidth="1" collapsed="1"/>
    <col min="20" max="21" width="13.44140625" style="36" customWidth="1"/>
    <col min="22" max="22" width="98.5546875" style="36" customWidth="1"/>
    <col min="23" max="23" width="1" style="36" customWidth="1"/>
    <col min="24" max="24" width="27.5546875" style="36" hidden="1" customWidth="1"/>
    <col min="25" max="249" width="9.109375" style="36" customWidth="1"/>
    <col min="250" max="16384" width="9.109375" style="36"/>
  </cols>
  <sheetData>
    <row r="1" spans="1:23" ht="13.5" customHeight="1" x14ac:dyDescent="0.3">
      <c r="A1" s="34"/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01" t="s">
        <v>455</v>
      </c>
      <c r="W1" s="34"/>
    </row>
    <row r="2" spans="1:23" ht="13.5" customHeight="1" x14ac:dyDescent="0.3">
      <c r="A2" s="34"/>
      <c r="B2" s="34"/>
      <c r="C2" s="34"/>
      <c r="D2" s="34"/>
      <c r="E2" s="34"/>
      <c r="F2" s="34"/>
      <c r="G2" s="34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01" t="s">
        <v>177</v>
      </c>
      <c r="W2" s="34"/>
    </row>
    <row r="3" spans="1:23" ht="27.75" customHeight="1" x14ac:dyDescent="0.25">
      <c r="A3" s="34"/>
      <c r="B3" s="34"/>
      <c r="C3" s="4"/>
      <c r="D3" s="4" t="s">
        <v>357</v>
      </c>
      <c r="E3" s="4"/>
      <c r="F3" s="4"/>
      <c r="G3" s="4"/>
      <c r="H3" s="4"/>
      <c r="I3" s="4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34"/>
      <c r="W3" s="34"/>
    </row>
    <row r="4" spans="1:23" ht="12.75" customHeight="1" thickBot="1" x14ac:dyDescent="0.3">
      <c r="A4" s="34"/>
      <c r="B4" s="34"/>
      <c r="C4" s="4"/>
      <c r="D4" s="4"/>
      <c r="E4" s="4"/>
      <c r="F4" s="4"/>
      <c r="G4" s="4"/>
      <c r="H4" s="4"/>
      <c r="I4" s="4"/>
      <c r="J4" s="34"/>
      <c r="K4" s="34"/>
      <c r="L4" s="4"/>
      <c r="M4" s="4"/>
      <c r="N4" s="4"/>
      <c r="O4" s="4"/>
      <c r="P4" s="4"/>
      <c r="Q4" s="4"/>
      <c r="R4" s="4"/>
      <c r="S4" s="4"/>
      <c r="T4" s="4"/>
      <c r="U4" s="4"/>
      <c r="V4" s="34"/>
      <c r="W4" s="34"/>
    </row>
    <row r="5" spans="1:23" ht="37.5" customHeight="1" thickBot="1" x14ac:dyDescent="0.3">
      <c r="A5" s="37"/>
      <c r="B5" s="4"/>
      <c r="D5" s="186" t="s">
        <v>337</v>
      </c>
      <c r="E5" s="187"/>
      <c r="F5" s="187"/>
      <c r="G5" s="187"/>
      <c r="H5" s="183"/>
      <c r="I5" s="167" t="s">
        <v>173</v>
      </c>
      <c r="J5" s="194" t="s">
        <v>174</v>
      </c>
      <c r="K5" s="195"/>
      <c r="L5" s="196"/>
      <c r="M5" s="183" t="s">
        <v>368</v>
      </c>
      <c r="N5" s="161" t="s">
        <v>175</v>
      </c>
      <c r="O5" s="168" t="s">
        <v>292</v>
      </c>
      <c r="P5" s="183" t="s">
        <v>374</v>
      </c>
      <c r="Q5" s="161" t="s">
        <v>175</v>
      </c>
      <c r="R5" s="168" t="s">
        <v>292</v>
      </c>
      <c r="S5" s="183" t="s">
        <v>387</v>
      </c>
      <c r="T5" s="161" t="s">
        <v>175</v>
      </c>
      <c r="U5" s="168" t="s">
        <v>292</v>
      </c>
      <c r="V5" s="161" t="s">
        <v>176</v>
      </c>
      <c r="W5" s="4"/>
    </row>
    <row r="6" spans="1:23" ht="11.25" customHeight="1" thickBot="1" x14ac:dyDescent="0.3">
      <c r="A6" s="38"/>
      <c r="B6" s="38"/>
      <c r="C6" s="32"/>
      <c r="D6" s="188"/>
      <c r="E6" s="189"/>
      <c r="F6" s="189"/>
      <c r="G6" s="189"/>
      <c r="H6" s="190"/>
      <c r="I6" s="167"/>
      <c r="J6" s="197"/>
      <c r="K6" s="198"/>
      <c r="L6" s="184"/>
      <c r="M6" s="184"/>
      <c r="N6" s="162"/>
      <c r="O6" s="169"/>
      <c r="P6" s="184"/>
      <c r="Q6" s="162"/>
      <c r="R6" s="169"/>
      <c r="S6" s="184"/>
      <c r="T6" s="162"/>
      <c r="U6" s="169"/>
      <c r="V6" s="162"/>
      <c r="W6" s="4"/>
    </row>
    <row r="7" spans="1:23" ht="53.25" customHeight="1" thickBot="1" x14ac:dyDescent="0.3">
      <c r="A7" s="38"/>
      <c r="B7" s="38"/>
      <c r="C7" s="33"/>
      <c r="D7" s="191"/>
      <c r="E7" s="192"/>
      <c r="F7" s="192"/>
      <c r="G7" s="192"/>
      <c r="H7" s="193"/>
      <c r="I7" s="167"/>
      <c r="J7" s="199"/>
      <c r="K7" s="200"/>
      <c r="L7" s="185"/>
      <c r="M7" s="185"/>
      <c r="N7" s="163"/>
      <c r="O7" s="170"/>
      <c r="P7" s="185"/>
      <c r="Q7" s="163"/>
      <c r="R7" s="170"/>
      <c r="S7" s="185"/>
      <c r="T7" s="163"/>
      <c r="U7" s="170"/>
      <c r="V7" s="163"/>
      <c r="W7" s="4"/>
    </row>
    <row r="8" spans="1:23" ht="12.75" hidden="1" customHeight="1" x14ac:dyDescent="0.25">
      <c r="A8" s="38"/>
      <c r="B8" s="38"/>
      <c r="C8" s="39" t="s">
        <v>23</v>
      </c>
      <c r="D8" s="83"/>
      <c r="E8" s="40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3" ht="32.25" customHeight="1" x14ac:dyDescent="0.25">
      <c r="A9" s="41"/>
      <c r="B9" s="42"/>
      <c r="C9" s="43"/>
      <c r="D9" s="164" t="s">
        <v>309</v>
      </c>
      <c r="E9" s="165"/>
      <c r="F9" s="165"/>
      <c r="G9" s="165"/>
      <c r="H9" s="166"/>
      <c r="I9" s="56" t="s">
        <v>172</v>
      </c>
      <c r="J9" s="57" t="s">
        <v>13</v>
      </c>
      <c r="K9" s="57" t="s">
        <v>4</v>
      </c>
      <c r="L9" s="57" t="s">
        <v>4</v>
      </c>
      <c r="M9" s="58">
        <f>M10+M12+M14</f>
        <v>37492.9</v>
      </c>
      <c r="N9" s="58">
        <f>N10+N12+N14</f>
        <v>0</v>
      </c>
      <c r="O9" s="58">
        <f>O10+O12+O14</f>
        <v>37492.9</v>
      </c>
      <c r="P9" s="58">
        <v>37492.9</v>
      </c>
      <c r="Q9" s="58">
        <f>Q10+Q12+Q14</f>
        <v>1100.8</v>
      </c>
      <c r="R9" s="100">
        <f>SUM(P9:Q9)</f>
        <v>38593.700000000004</v>
      </c>
      <c r="S9" s="100">
        <v>38624.700000000004</v>
      </c>
      <c r="T9" s="100">
        <f>SUM(T10+T12+T14)</f>
        <v>3366.2999999999997</v>
      </c>
      <c r="U9" s="100">
        <f>SUM(S9:T9)</f>
        <v>41991.000000000007</v>
      </c>
      <c r="V9" s="59"/>
      <c r="W9" s="4"/>
    </row>
    <row r="10" spans="1:23" ht="33.75" customHeight="1" x14ac:dyDescent="0.25">
      <c r="A10" s="45"/>
      <c r="B10" s="38"/>
      <c r="C10" s="46"/>
      <c r="D10" s="145" t="s">
        <v>336</v>
      </c>
      <c r="E10" s="138"/>
      <c r="F10" s="138"/>
      <c r="G10" s="138"/>
      <c r="H10" s="138"/>
      <c r="I10" s="72" t="s">
        <v>171</v>
      </c>
      <c r="J10" s="73" t="s">
        <v>13</v>
      </c>
      <c r="K10" s="73" t="s">
        <v>23</v>
      </c>
      <c r="L10" s="73" t="s">
        <v>4</v>
      </c>
      <c r="M10" s="74">
        <f>SUM(M11)</f>
        <v>1500</v>
      </c>
      <c r="N10" s="74">
        <f>SUM(N11)</f>
        <v>0</v>
      </c>
      <c r="O10" s="74">
        <f>SUM(O11)</f>
        <v>1500</v>
      </c>
      <c r="P10" s="74">
        <v>1500</v>
      </c>
      <c r="Q10" s="74">
        <f>SUM(Q11)</f>
        <v>0</v>
      </c>
      <c r="R10" s="74">
        <f>SUM(R11)</f>
        <v>1500</v>
      </c>
      <c r="S10" s="74">
        <v>1632.8</v>
      </c>
      <c r="T10" s="74">
        <f>SUM(T11)</f>
        <v>0</v>
      </c>
      <c r="U10" s="74">
        <f>SUM(U11)</f>
        <v>1632.8</v>
      </c>
      <c r="V10" s="75"/>
      <c r="W10" s="4"/>
    </row>
    <row r="11" spans="1:23" ht="32.25" hidden="1" customHeight="1" outlineLevel="1" x14ac:dyDescent="0.25">
      <c r="A11" s="45"/>
      <c r="B11" s="38"/>
      <c r="C11" s="46"/>
      <c r="D11" s="14"/>
      <c r="E11" s="147" t="s">
        <v>182</v>
      </c>
      <c r="F11" s="139"/>
      <c r="G11" s="139"/>
      <c r="H11" s="139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19">
        <v>1500</v>
      </c>
      <c r="Q11" s="19"/>
      <c r="R11" s="19">
        <f>SUM(P11:Q11)</f>
        <v>1500</v>
      </c>
      <c r="S11" s="19">
        <v>1632.8</v>
      </c>
      <c r="T11" s="19"/>
      <c r="U11" s="19">
        <f>SUM(S11:T11)</f>
        <v>1632.8</v>
      </c>
      <c r="V11" s="9"/>
      <c r="W11" s="4"/>
    </row>
    <row r="12" spans="1:23" ht="29.25" customHeight="1" collapsed="1" x14ac:dyDescent="0.25">
      <c r="A12" s="45"/>
      <c r="B12" s="38"/>
      <c r="C12" s="46"/>
      <c r="D12" s="145" t="s">
        <v>318</v>
      </c>
      <c r="E12" s="138"/>
      <c r="F12" s="138"/>
      <c r="G12" s="138"/>
      <c r="H12" s="138"/>
      <c r="I12" s="72" t="s">
        <v>170</v>
      </c>
      <c r="J12" s="73" t="s">
        <v>13</v>
      </c>
      <c r="K12" s="73" t="s">
        <v>18</v>
      </c>
      <c r="L12" s="73" t="s">
        <v>4</v>
      </c>
      <c r="M12" s="74">
        <f t="shared" ref="M12:R12" si="0">M13</f>
        <v>300</v>
      </c>
      <c r="N12" s="74">
        <f t="shared" si="0"/>
        <v>0</v>
      </c>
      <c r="O12" s="74">
        <f t="shared" si="0"/>
        <v>300</v>
      </c>
      <c r="P12" s="74">
        <v>300</v>
      </c>
      <c r="Q12" s="74">
        <f t="shared" si="0"/>
        <v>0</v>
      </c>
      <c r="R12" s="74">
        <f t="shared" si="0"/>
        <v>300</v>
      </c>
      <c r="S12" s="74">
        <v>167.2</v>
      </c>
      <c r="T12" s="74">
        <f>SUM(T13)</f>
        <v>0</v>
      </c>
      <c r="U12" s="74">
        <f t="shared" ref="U12" si="1">U13</f>
        <v>167.2</v>
      </c>
      <c r="V12" s="75"/>
      <c r="W12" s="4"/>
    </row>
    <row r="13" spans="1:23" ht="38.25" hidden="1" customHeight="1" outlineLevel="1" x14ac:dyDescent="0.25">
      <c r="A13" s="45"/>
      <c r="B13" s="38"/>
      <c r="C13" s="46"/>
      <c r="D13" s="14"/>
      <c r="E13" s="139" t="s">
        <v>349</v>
      </c>
      <c r="F13" s="139"/>
      <c r="G13" s="139"/>
      <c r="H13" s="139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19">
        <v>300</v>
      </c>
      <c r="Q13" s="19"/>
      <c r="R13" s="19">
        <f>SUM(P13:Q13)</f>
        <v>300</v>
      </c>
      <c r="S13" s="19">
        <v>167.2</v>
      </c>
      <c r="T13" s="19"/>
      <c r="U13" s="19">
        <f>SUM(S13:T13)</f>
        <v>167.2</v>
      </c>
      <c r="V13" s="9"/>
      <c r="W13" s="4"/>
    </row>
    <row r="14" spans="1:23" ht="63.75" customHeight="1" collapsed="1" x14ac:dyDescent="0.25">
      <c r="A14" s="45"/>
      <c r="B14" s="38"/>
      <c r="C14" s="46"/>
      <c r="D14" s="148" t="s">
        <v>183</v>
      </c>
      <c r="E14" s="138"/>
      <c r="F14" s="138"/>
      <c r="G14" s="138"/>
      <c r="H14" s="138"/>
      <c r="I14" s="72" t="s">
        <v>169</v>
      </c>
      <c r="J14" s="73" t="s">
        <v>13</v>
      </c>
      <c r="K14" s="73" t="s">
        <v>27</v>
      </c>
      <c r="L14" s="73" t="s">
        <v>4</v>
      </c>
      <c r="M14" s="74">
        <f>M15+M16</f>
        <v>35692.9</v>
      </c>
      <c r="N14" s="74">
        <f>N15+N16</f>
        <v>0</v>
      </c>
      <c r="O14" s="74">
        <f>O15+O16</f>
        <v>35692.9</v>
      </c>
      <c r="P14" s="74">
        <v>35692.9</v>
      </c>
      <c r="Q14" s="74">
        <f>Q15+Q16</f>
        <v>1100.8</v>
      </c>
      <c r="R14" s="74">
        <f>R15+R16</f>
        <v>36793.700000000004</v>
      </c>
      <c r="S14" s="74">
        <v>36824.700000000004</v>
      </c>
      <c r="T14" s="74">
        <f>SUM(T15+T16)</f>
        <v>3366.2999999999997</v>
      </c>
      <c r="U14" s="74">
        <f>U15+U16</f>
        <v>40191.000000000007</v>
      </c>
      <c r="V14" s="75" t="s">
        <v>431</v>
      </c>
      <c r="W14" s="4"/>
    </row>
    <row r="15" spans="1:23" ht="64.5" hidden="1" customHeight="1" outlineLevel="1" x14ac:dyDescent="0.25">
      <c r="A15" s="45"/>
      <c r="B15" s="38"/>
      <c r="C15" s="46"/>
      <c r="D15" s="14"/>
      <c r="E15" s="147" t="s">
        <v>184</v>
      </c>
      <c r="F15" s="139"/>
      <c r="G15" s="139"/>
      <c r="H15" s="139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2">SUM(M15:N15)</f>
        <v>35392.9</v>
      </c>
      <c r="P15" s="19">
        <v>35392.9</v>
      </c>
      <c r="Q15" s="19">
        <v>1100.8</v>
      </c>
      <c r="R15" s="19">
        <f t="shared" ref="R15:R22" si="3">SUM(P15:Q15)</f>
        <v>36493.700000000004</v>
      </c>
      <c r="S15" s="19">
        <v>36524.700000000004</v>
      </c>
      <c r="T15" s="19">
        <f>1268.1+2098.2</f>
        <v>3366.2999999999997</v>
      </c>
      <c r="U15" s="19">
        <f t="shared" ref="U15:U22" si="4">SUM(S15:T15)</f>
        <v>39891.000000000007</v>
      </c>
      <c r="V15" s="9" t="s">
        <v>418</v>
      </c>
      <c r="W15" s="4"/>
    </row>
    <row r="16" spans="1:23" ht="40.5" hidden="1" customHeight="1" outlineLevel="1" x14ac:dyDescent="0.25">
      <c r="A16" s="45"/>
      <c r="B16" s="38"/>
      <c r="C16" s="46"/>
      <c r="D16" s="14"/>
      <c r="E16" s="147" t="s">
        <v>185</v>
      </c>
      <c r="F16" s="139"/>
      <c r="G16" s="139"/>
      <c r="H16" s="139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2"/>
        <v>300</v>
      </c>
      <c r="P16" s="19">
        <v>300</v>
      </c>
      <c r="Q16" s="19"/>
      <c r="R16" s="19">
        <f t="shared" si="3"/>
        <v>300</v>
      </c>
      <c r="S16" s="19">
        <v>300</v>
      </c>
      <c r="T16" s="19"/>
      <c r="U16" s="19">
        <f t="shared" si="4"/>
        <v>300</v>
      </c>
      <c r="V16" s="9"/>
      <c r="W16" s="4"/>
    </row>
    <row r="17" spans="1:23" ht="43.5" customHeight="1" collapsed="1" x14ac:dyDescent="0.25">
      <c r="A17" s="45"/>
      <c r="B17" s="4"/>
      <c r="C17" s="47"/>
      <c r="D17" s="151" t="s">
        <v>310</v>
      </c>
      <c r="E17" s="154"/>
      <c r="F17" s="154"/>
      <c r="G17" s="154"/>
      <c r="H17" s="155"/>
      <c r="I17" s="60" t="s">
        <v>166</v>
      </c>
      <c r="J17" s="61" t="s">
        <v>11</v>
      </c>
      <c r="K17" s="61" t="s">
        <v>4</v>
      </c>
      <c r="L17" s="61" t="s">
        <v>4</v>
      </c>
      <c r="M17" s="62">
        <f>M18+M19+M20+M21</f>
        <v>2339.1999999999998</v>
      </c>
      <c r="N17" s="63">
        <f>SUM(N18+N19+N20+N21)</f>
        <v>0</v>
      </c>
      <c r="O17" s="62">
        <f t="shared" si="2"/>
        <v>2339.1999999999998</v>
      </c>
      <c r="P17" s="62">
        <f>P18+P19+P20+P21</f>
        <v>2339.1999999999998</v>
      </c>
      <c r="Q17" s="63">
        <f>SUM(Q18+Q19+Q20+Q21)</f>
        <v>24.3</v>
      </c>
      <c r="R17" s="62">
        <f t="shared" si="3"/>
        <v>2363.5</v>
      </c>
      <c r="S17" s="62">
        <v>2363.5</v>
      </c>
      <c r="T17" s="62">
        <f>SUM(T18+T19+T20+T21)</f>
        <v>-100</v>
      </c>
      <c r="U17" s="62">
        <f t="shared" si="4"/>
        <v>2263.5</v>
      </c>
      <c r="V17" s="64" t="s">
        <v>392</v>
      </c>
      <c r="W17" s="4"/>
    </row>
    <row r="18" spans="1:23" ht="39.75" hidden="1" customHeight="1" outlineLevel="1" x14ac:dyDescent="0.25">
      <c r="A18" s="45"/>
      <c r="B18" s="38"/>
      <c r="C18" s="46"/>
      <c r="D18" s="14"/>
      <c r="E18" s="139" t="s">
        <v>319</v>
      </c>
      <c r="F18" s="139"/>
      <c r="G18" s="139"/>
      <c r="H18" s="139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2"/>
        <v>1929.2</v>
      </c>
      <c r="P18" s="19">
        <v>1929.2</v>
      </c>
      <c r="Q18" s="19"/>
      <c r="R18" s="19">
        <f t="shared" si="3"/>
        <v>1929.2</v>
      </c>
      <c r="S18" s="19">
        <v>1925.3</v>
      </c>
      <c r="T18" s="19">
        <v>-100</v>
      </c>
      <c r="U18" s="19">
        <f t="shared" si="4"/>
        <v>1825.3</v>
      </c>
      <c r="V18" s="9" t="s">
        <v>392</v>
      </c>
      <c r="W18" s="4"/>
    </row>
    <row r="19" spans="1:23" ht="32.25" hidden="1" customHeight="1" outlineLevel="1" x14ac:dyDescent="0.25">
      <c r="A19" s="45"/>
      <c r="B19" s="38"/>
      <c r="C19" s="46"/>
      <c r="D19" s="14"/>
      <c r="E19" s="147" t="s">
        <v>186</v>
      </c>
      <c r="F19" s="139"/>
      <c r="G19" s="139"/>
      <c r="H19" s="139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2"/>
        <v>0</v>
      </c>
      <c r="P19" s="19">
        <v>0</v>
      </c>
      <c r="Q19" s="19"/>
      <c r="R19" s="19">
        <f t="shared" si="3"/>
        <v>0</v>
      </c>
      <c r="S19" s="19">
        <v>0</v>
      </c>
      <c r="T19" s="19"/>
      <c r="U19" s="19">
        <f t="shared" si="4"/>
        <v>0</v>
      </c>
      <c r="V19" s="9"/>
      <c r="W19" s="4"/>
    </row>
    <row r="20" spans="1:23" ht="39" hidden="1" customHeight="1" outlineLevel="1" x14ac:dyDescent="0.25">
      <c r="A20" s="45"/>
      <c r="B20" s="38"/>
      <c r="C20" s="46"/>
      <c r="D20" s="14"/>
      <c r="E20" s="147" t="s">
        <v>187</v>
      </c>
      <c r="F20" s="139"/>
      <c r="G20" s="139"/>
      <c r="H20" s="139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2"/>
        <v>400</v>
      </c>
      <c r="P20" s="19">
        <v>400</v>
      </c>
      <c r="Q20" s="19">
        <v>24.3</v>
      </c>
      <c r="R20" s="19">
        <f t="shared" si="3"/>
        <v>424.3</v>
      </c>
      <c r="S20" s="19">
        <v>428.2</v>
      </c>
      <c r="T20" s="19"/>
      <c r="U20" s="19">
        <f t="shared" si="4"/>
        <v>428.2</v>
      </c>
      <c r="V20" s="9"/>
      <c r="W20" s="4"/>
    </row>
    <row r="21" spans="1:23" ht="33.75" hidden="1" customHeight="1" outlineLevel="1" x14ac:dyDescent="0.25">
      <c r="A21" s="45"/>
      <c r="B21" s="38"/>
      <c r="C21" s="46"/>
      <c r="D21" s="14"/>
      <c r="E21" s="139" t="s">
        <v>320</v>
      </c>
      <c r="F21" s="139"/>
      <c r="G21" s="139"/>
      <c r="H21" s="139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2"/>
        <v>10</v>
      </c>
      <c r="P21" s="19">
        <v>10</v>
      </c>
      <c r="Q21" s="19"/>
      <c r="R21" s="19">
        <f t="shared" si="3"/>
        <v>10</v>
      </c>
      <c r="S21" s="19">
        <v>10</v>
      </c>
      <c r="T21" s="19"/>
      <c r="U21" s="19">
        <f t="shared" si="4"/>
        <v>10</v>
      </c>
      <c r="V21" s="9"/>
      <c r="W21" s="4"/>
    </row>
    <row r="22" spans="1:23" ht="36.75" customHeight="1" collapsed="1" x14ac:dyDescent="0.25">
      <c r="A22" s="45"/>
      <c r="B22" s="4"/>
      <c r="C22" s="47"/>
      <c r="D22" s="151" t="s">
        <v>311</v>
      </c>
      <c r="E22" s="154"/>
      <c r="F22" s="154"/>
      <c r="G22" s="154"/>
      <c r="H22" s="155"/>
      <c r="I22" s="60" t="s">
        <v>161</v>
      </c>
      <c r="J22" s="61" t="s">
        <v>26</v>
      </c>
      <c r="K22" s="61" t="s">
        <v>4</v>
      </c>
      <c r="L22" s="61" t="s">
        <v>4</v>
      </c>
      <c r="M22" s="63">
        <f>SUM(M23+M26)</f>
        <v>10090.4</v>
      </c>
      <c r="N22" s="63">
        <f>SUM(N23+N26)</f>
        <v>0</v>
      </c>
      <c r="O22" s="62">
        <f t="shared" si="2"/>
        <v>10090.4</v>
      </c>
      <c r="P22" s="63">
        <f>SUM(P23+P26)</f>
        <v>10090.4</v>
      </c>
      <c r="Q22" s="63">
        <f>SUM(Q23+Q26)</f>
        <v>0</v>
      </c>
      <c r="R22" s="62">
        <f t="shared" si="3"/>
        <v>10090.4</v>
      </c>
      <c r="S22" s="62">
        <v>10129.9</v>
      </c>
      <c r="T22" s="62">
        <f>SUM(T23+T26)</f>
        <v>3223.7</v>
      </c>
      <c r="U22" s="62">
        <f t="shared" si="4"/>
        <v>13353.599999999999</v>
      </c>
      <c r="V22" s="64"/>
      <c r="W22" s="4"/>
    </row>
    <row r="23" spans="1:23" ht="33" customHeight="1" x14ac:dyDescent="0.25">
      <c r="A23" s="45"/>
      <c r="B23" s="38"/>
      <c r="C23" s="46"/>
      <c r="D23" s="14"/>
      <c r="E23" s="138" t="s">
        <v>369</v>
      </c>
      <c r="F23" s="138"/>
      <c r="G23" s="138"/>
      <c r="H23" s="138"/>
      <c r="I23" s="72" t="s">
        <v>160</v>
      </c>
      <c r="J23" s="73" t="s">
        <v>26</v>
      </c>
      <c r="K23" s="73">
        <v>1</v>
      </c>
      <c r="L23" s="73"/>
      <c r="M23" s="74">
        <f>SUM(M24+M25)</f>
        <v>3169</v>
      </c>
      <c r="N23" s="74">
        <f>SUM(N24+N25)</f>
        <v>0</v>
      </c>
      <c r="O23" s="74">
        <f>SUM(M23:N23)</f>
        <v>3169</v>
      </c>
      <c r="P23" s="74">
        <f>SUM(P24+P25)</f>
        <v>3169</v>
      </c>
      <c r="Q23" s="74">
        <f>SUM(Q24+Q25)</f>
        <v>0</v>
      </c>
      <c r="R23" s="74">
        <f t="shared" ref="R23:R29" si="5">SUM(P23:Q23)</f>
        <v>3169</v>
      </c>
      <c r="S23" s="74">
        <v>3208.5</v>
      </c>
      <c r="T23" s="74">
        <f>SUM(T24+T25)</f>
        <v>749.3</v>
      </c>
      <c r="U23" s="74">
        <f>SUM(S23:T23)</f>
        <v>3957.8</v>
      </c>
      <c r="V23" s="75" t="s">
        <v>400</v>
      </c>
      <c r="W23" s="4"/>
    </row>
    <row r="24" spans="1:23" ht="33" hidden="1" customHeight="1" outlineLevel="1" x14ac:dyDescent="0.25">
      <c r="A24" s="45"/>
      <c r="B24" s="38"/>
      <c r="C24" s="46"/>
      <c r="D24" s="14"/>
      <c r="E24" s="139" t="s">
        <v>366</v>
      </c>
      <c r="F24" s="139"/>
      <c r="G24" s="139"/>
      <c r="H24" s="139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>SUM(M24:N24)</f>
        <v>325.10000000000002</v>
      </c>
      <c r="P24" s="19">
        <v>325.10000000000002</v>
      </c>
      <c r="Q24" s="19"/>
      <c r="R24" s="19">
        <f t="shared" si="5"/>
        <v>325.10000000000002</v>
      </c>
      <c r="S24" s="19">
        <v>325.10000000000002</v>
      </c>
      <c r="T24" s="19"/>
      <c r="U24" s="19">
        <f t="shared" ref="U24:U25" si="6">SUM(S24:T24)</f>
        <v>325.10000000000002</v>
      </c>
      <c r="V24" s="9"/>
      <c r="W24" s="4"/>
    </row>
    <row r="25" spans="1:23" ht="33" hidden="1" customHeight="1" outlineLevel="1" x14ac:dyDescent="0.25">
      <c r="A25" s="45"/>
      <c r="B25" s="38"/>
      <c r="C25" s="46"/>
      <c r="D25" s="14"/>
      <c r="E25" s="149" t="s">
        <v>355</v>
      </c>
      <c r="F25" s="149"/>
      <c r="G25" s="149"/>
      <c r="H25" s="150"/>
      <c r="I25" s="15" t="s">
        <v>160</v>
      </c>
      <c r="J25" s="6" t="s">
        <v>26</v>
      </c>
      <c r="K25" s="6">
        <v>1</v>
      </c>
      <c r="L25" s="11" t="s">
        <v>356</v>
      </c>
      <c r="M25" s="19">
        <v>2843.9</v>
      </c>
      <c r="N25" s="19"/>
      <c r="O25" s="19">
        <f t="shared" ref="O25:O31" si="7">SUM(M25:N25)</f>
        <v>2843.9</v>
      </c>
      <c r="P25" s="19">
        <v>2843.9</v>
      </c>
      <c r="Q25" s="19"/>
      <c r="R25" s="19">
        <f t="shared" si="5"/>
        <v>2843.9</v>
      </c>
      <c r="S25" s="19">
        <v>2883.4</v>
      </c>
      <c r="T25" s="19">
        <v>749.3</v>
      </c>
      <c r="U25" s="19">
        <f t="shared" si="6"/>
        <v>3632.7</v>
      </c>
      <c r="V25" s="9" t="s">
        <v>400</v>
      </c>
      <c r="W25" s="4"/>
    </row>
    <row r="26" spans="1:23" ht="51" customHeight="1" collapsed="1" x14ac:dyDescent="0.25">
      <c r="A26" s="45"/>
      <c r="B26" s="38"/>
      <c r="C26" s="46"/>
      <c r="D26" s="14"/>
      <c r="E26" s="138" t="s">
        <v>370</v>
      </c>
      <c r="F26" s="138"/>
      <c r="G26" s="138"/>
      <c r="H26" s="138"/>
      <c r="I26" s="72" t="s">
        <v>160</v>
      </c>
      <c r="J26" s="73" t="s">
        <v>26</v>
      </c>
      <c r="K26" s="73">
        <v>2</v>
      </c>
      <c r="L26" s="73"/>
      <c r="M26" s="74">
        <f>SUM(M27+M28)</f>
        <v>6921.4</v>
      </c>
      <c r="N26" s="74">
        <f>SUM(N27+N28)</f>
        <v>0</v>
      </c>
      <c r="O26" s="74">
        <f t="shared" si="7"/>
        <v>6921.4</v>
      </c>
      <c r="P26" s="74">
        <f>SUM(P27+P28)</f>
        <v>6921.4</v>
      </c>
      <c r="Q26" s="74">
        <f>SUM(Q27+Q28)</f>
        <v>0</v>
      </c>
      <c r="R26" s="74">
        <f t="shared" si="5"/>
        <v>6921.4</v>
      </c>
      <c r="S26" s="74">
        <v>6921.4</v>
      </c>
      <c r="T26" s="74">
        <f>SUM(T27+T28)</f>
        <v>2474.4</v>
      </c>
      <c r="U26" s="74">
        <f>SUM(S26:T26)</f>
        <v>9395.7999999999993</v>
      </c>
      <c r="V26" s="75" t="s">
        <v>432</v>
      </c>
      <c r="W26" s="4"/>
    </row>
    <row r="27" spans="1:23" ht="23.25" hidden="1" customHeight="1" outlineLevel="1" x14ac:dyDescent="0.25">
      <c r="A27" s="45"/>
      <c r="B27" s="38"/>
      <c r="C27" s="46"/>
      <c r="D27" s="14"/>
      <c r="E27" s="139" t="s">
        <v>371</v>
      </c>
      <c r="F27" s="139"/>
      <c r="G27" s="139"/>
      <c r="H27" s="139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7"/>
        <v>111.4</v>
      </c>
      <c r="P27" s="19">
        <v>111.4</v>
      </c>
      <c r="Q27" s="19"/>
      <c r="R27" s="19">
        <f t="shared" si="5"/>
        <v>111.4</v>
      </c>
      <c r="S27" s="19">
        <v>111.4</v>
      </c>
      <c r="T27" s="19">
        <v>-41.4</v>
      </c>
      <c r="U27" s="19">
        <f t="shared" ref="U27:U28" si="8">SUM(S27:T27)</f>
        <v>70</v>
      </c>
      <c r="V27" s="9" t="s">
        <v>398</v>
      </c>
      <c r="W27" s="4"/>
    </row>
    <row r="28" spans="1:23" ht="30.75" hidden="1" customHeight="1" outlineLevel="1" x14ac:dyDescent="0.25">
      <c r="A28" s="45" t="s">
        <v>375</v>
      </c>
      <c r="B28" s="38"/>
      <c r="C28" s="46"/>
      <c r="D28" s="14"/>
      <c r="E28" s="139" t="s">
        <v>375</v>
      </c>
      <c r="F28" s="139"/>
      <c r="G28" s="139"/>
      <c r="H28" s="139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>SUM(M28:N28)</f>
        <v>6810</v>
      </c>
      <c r="P28" s="19">
        <v>6810</v>
      </c>
      <c r="Q28" s="19"/>
      <c r="R28" s="19">
        <f t="shared" si="5"/>
        <v>6810</v>
      </c>
      <c r="S28" s="19">
        <v>6810</v>
      </c>
      <c r="T28" s="19">
        <v>2515.8000000000002</v>
      </c>
      <c r="U28" s="19">
        <f t="shared" si="8"/>
        <v>9325.7999999999993</v>
      </c>
      <c r="V28" s="9" t="s">
        <v>401</v>
      </c>
      <c r="W28" s="4"/>
    </row>
    <row r="29" spans="1:23" ht="28.5" customHeight="1" collapsed="1" x14ac:dyDescent="0.25">
      <c r="A29" s="45"/>
      <c r="B29" s="4"/>
      <c r="C29" s="47"/>
      <c r="D29" s="151" t="s">
        <v>298</v>
      </c>
      <c r="E29" s="154"/>
      <c r="F29" s="154"/>
      <c r="G29" s="154"/>
      <c r="H29" s="155"/>
      <c r="I29" s="60" t="s">
        <v>157</v>
      </c>
      <c r="J29" s="61" t="s">
        <v>10</v>
      </c>
      <c r="K29" s="61" t="s">
        <v>4</v>
      </c>
      <c r="L29" s="61" t="s">
        <v>4</v>
      </c>
      <c r="M29" s="63">
        <f>M30+M35+M39</f>
        <v>5030</v>
      </c>
      <c r="N29" s="63">
        <f>N30+N35+N39</f>
        <v>0</v>
      </c>
      <c r="O29" s="62">
        <f t="shared" si="7"/>
        <v>5030</v>
      </c>
      <c r="P29" s="63">
        <f>P30+P35+P39</f>
        <v>5030</v>
      </c>
      <c r="Q29" s="63">
        <f>Q30+Q35+Q39</f>
        <v>0</v>
      </c>
      <c r="R29" s="62">
        <f t="shared" si="5"/>
        <v>5030</v>
      </c>
      <c r="S29" s="62">
        <v>5095</v>
      </c>
      <c r="T29" s="62">
        <f>SUM(T30+T35+T39)</f>
        <v>0</v>
      </c>
      <c r="U29" s="62">
        <f t="shared" ref="U29:U36" si="9">SUM(S29:T29)</f>
        <v>5095</v>
      </c>
      <c r="V29" s="65"/>
      <c r="W29" s="4"/>
    </row>
    <row r="30" spans="1:23" ht="67.5" customHeight="1" x14ac:dyDescent="0.25">
      <c r="A30" s="45"/>
      <c r="B30" s="38"/>
      <c r="C30" s="46"/>
      <c r="D30" s="148" t="s">
        <v>188</v>
      </c>
      <c r="E30" s="138"/>
      <c r="F30" s="138"/>
      <c r="G30" s="138"/>
      <c r="H30" s="138"/>
      <c r="I30" s="72" t="s">
        <v>156</v>
      </c>
      <c r="J30" s="73" t="s">
        <v>10</v>
      </c>
      <c r="K30" s="73" t="s">
        <v>23</v>
      </c>
      <c r="L30" s="73" t="s">
        <v>4</v>
      </c>
      <c r="M30" s="74">
        <f t="shared" ref="M30:R30" si="10">M31</f>
        <v>4500</v>
      </c>
      <c r="N30" s="74">
        <f t="shared" si="10"/>
        <v>0</v>
      </c>
      <c r="O30" s="74">
        <f t="shared" si="10"/>
        <v>4500</v>
      </c>
      <c r="P30" s="74">
        <f t="shared" si="10"/>
        <v>4500</v>
      </c>
      <c r="Q30" s="74">
        <f t="shared" si="10"/>
        <v>0</v>
      </c>
      <c r="R30" s="74">
        <f t="shared" si="10"/>
        <v>4500</v>
      </c>
      <c r="S30" s="74">
        <v>4565</v>
      </c>
      <c r="T30" s="74">
        <f>SUM(T31:T34)</f>
        <v>20</v>
      </c>
      <c r="U30" s="74">
        <f t="shared" si="9"/>
        <v>4585</v>
      </c>
      <c r="V30" s="75" t="s">
        <v>428</v>
      </c>
      <c r="W30" s="4"/>
    </row>
    <row r="31" spans="1:23" ht="39" hidden="1" customHeight="1" outlineLevel="1" x14ac:dyDescent="0.25">
      <c r="A31" s="45"/>
      <c r="B31" s="38"/>
      <c r="C31" s="46"/>
      <c r="D31" s="14"/>
      <c r="E31" s="147" t="s">
        <v>289</v>
      </c>
      <c r="F31" s="139"/>
      <c r="G31" s="139"/>
      <c r="H31" s="139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7"/>
        <v>4500</v>
      </c>
      <c r="P31" s="19">
        <v>4500</v>
      </c>
      <c r="Q31" s="19"/>
      <c r="R31" s="19">
        <f>SUM(P31:Q31)</f>
        <v>4500</v>
      </c>
      <c r="S31" s="19">
        <v>4565</v>
      </c>
      <c r="T31" s="19">
        <v>-8.6999999999999993</v>
      </c>
      <c r="U31" s="19">
        <f t="shared" si="9"/>
        <v>4556.3</v>
      </c>
      <c r="V31" s="9" t="s">
        <v>412</v>
      </c>
      <c r="W31" s="4"/>
    </row>
    <row r="32" spans="1:23" ht="22.5" hidden="1" customHeight="1" outlineLevel="1" x14ac:dyDescent="0.25">
      <c r="A32" s="45"/>
      <c r="B32" s="38"/>
      <c r="C32" s="46"/>
      <c r="D32" s="14"/>
      <c r="E32" s="156" t="s">
        <v>389</v>
      </c>
      <c r="F32" s="141"/>
      <c r="G32" s="141"/>
      <c r="H32" s="142"/>
      <c r="I32" s="15"/>
      <c r="J32" s="6" t="s">
        <v>10</v>
      </c>
      <c r="K32" s="6" t="s">
        <v>23</v>
      </c>
      <c r="L32" s="11" t="s">
        <v>11</v>
      </c>
      <c r="M32" s="19"/>
      <c r="N32" s="19"/>
      <c r="O32" s="19"/>
      <c r="P32" s="19"/>
      <c r="Q32" s="19"/>
      <c r="R32" s="19"/>
      <c r="S32" s="19">
        <v>0</v>
      </c>
      <c r="T32" s="19"/>
      <c r="U32" s="19">
        <f t="shared" si="9"/>
        <v>0</v>
      </c>
      <c r="V32" s="9"/>
      <c r="W32" s="4"/>
    </row>
    <row r="33" spans="1:23" ht="27" hidden="1" customHeight="1" outlineLevel="1" x14ac:dyDescent="0.25">
      <c r="A33" s="45"/>
      <c r="B33" s="38"/>
      <c r="C33" s="46"/>
      <c r="D33" s="14"/>
      <c r="E33" s="156" t="s">
        <v>390</v>
      </c>
      <c r="F33" s="149"/>
      <c r="G33" s="149"/>
      <c r="H33" s="150"/>
      <c r="I33" s="15"/>
      <c r="J33" s="6" t="s">
        <v>10</v>
      </c>
      <c r="K33" s="6" t="s">
        <v>23</v>
      </c>
      <c r="L33" s="11" t="s">
        <v>26</v>
      </c>
      <c r="M33" s="19"/>
      <c r="N33" s="19"/>
      <c r="O33" s="19"/>
      <c r="P33" s="19"/>
      <c r="Q33" s="19"/>
      <c r="R33" s="19"/>
      <c r="S33" s="19">
        <v>0</v>
      </c>
      <c r="T33" s="19"/>
      <c r="U33" s="19">
        <f t="shared" si="9"/>
        <v>0</v>
      </c>
      <c r="V33" s="9"/>
      <c r="W33" s="4"/>
    </row>
    <row r="34" spans="1:23" ht="38.25" hidden="1" customHeight="1" outlineLevel="1" x14ac:dyDescent="0.25">
      <c r="A34" s="45"/>
      <c r="B34" s="38"/>
      <c r="C34" s="46"/>
      <c r="D34" s="14"/>
      <c r="E34" s="156" t="s">
        <v>391</v>
      </c>
      <c r="F34" s="149"/>
      <c r="G34" s="149"/>
      <c r="H34" s="150"/>
      <c r="I34" s="15"/>
      <c r="J34" s="6" t="s">
        <v>10</v>
      </c>
      <c r="K34" s="6" t="s">
        <v>23</v>
      </c>
      <c r="L34" s="11" t="s">
        <v>10</v>
      </c>
      <c r="M34" s="19"/>
      <c r="N34" s="19"/>
      <c r="O34" s="19"/>
      <c r="P34" s="19"/>
      <c r="Q34" s="19"/>
      <c r="R34" s="19"/>
      <c r="S34" s="19">
        <v>0</v>
      </c>
      <c r="T34" s="19">
        <v>28.7</v>
      </c>
      <c r="U34" s="19">
        <f t="shared" si="9"/>
        <v>28.7</v>
      </c>
      <c r="V34" s="9" t="s">
        <v>413</v>
      </c>
      <c r="W34" s="4"/>
    </row>
    <row r="35" spans="1:23" ht="24" customHeight="1" collapsed="1" x14ac:dyDescent="0.25">
      <c r="A35" s="45"/>
      <c r="B35" s="38"/>
      <c r="C35" s="46"/>
      <c r="D35" s="148" t="s">
        <v>191</v>
      </c>
      <c r="E35" s="138"/>
      <c r="F35" s="138"/>
      <c r="G35" s="138"/>
      <c r="H35" s="138"/>
      <c r="I35" s="72" t="s">
        <v>155</v>
      </c>
      <c r="J35" s="73" t="s">
        <v>10</v>
      </c>
      <c r="K35" s="73" t="s">
        <v>18</v>
      </c>
      <c r="L35" s="73" t="s">
        <v>4</v>
      </c>
      <c r="M35" s="74">
        <f>M37+M38</f>
        <v>30</v>
      </c>
      <c r="N35" s="74">
        <f>N37+N38</f>
        <v>0</v>
      </c>
      <c r="O35" s="74">
        <f>SUM(M35:N35)</f>
        <v>30</v>
      </c>
      <c r="P35" s="74">
        <f>P37+P38</f>
        <v>30</v>
      </c>
      <c r="Q35" s="74">
        <f>Q37+Q38</f>
        <v>0</v>
      </c>
      <c r="R35" s="74">
        <f>SUM(P35:Q35)</f>
        <v>30</v>
      </c>
      <c r="S35" s="74">
        <v>30</v>
      </c>
      <c r="T35" s="74">
        <f>SUM(T36+T37+T38)</f>
        <v>0</v>
      </c>
      <c r="U35" s="74">
        <f t="shared" si="9"/>
        <v>30</v>
      </c>
      <c r="V35" s="75"/>
      <c r="W35" s="4"/>
    </row>
    <row r="36" spans="1:23" ht="47.25" hidden="1" customHeight="1" outlineLevel="1" x14ac:dyDescent="0.25">
      <c r="A36" s="45"/>
      <c r="B36" s="38"/>
      <c r="C36" s="46"/>
      <c r="D36" s="93"/>
      <c r="E36" s="156" t="s">
        <v>367</v>
      </c>
      <c r="F36" s="149"/>
      <c r="G36" s="149"/>
      <c r="H36" s="150"/>
      <c r="I36" s="72"/>
      <c r="J36" s="6">
        <v>4</v>
      </c>
      <c r="K36" s="6">
        <v>2</v>
      </c>
      <c r="L36" s="11" t="s">
        <v>13</v>
      </c>
      <c r="M36" s="19">
        <v>0</v>
      </c>
      <c r="N36" s="19"/>
      <c r="O36" s="19"/>
      <c r="P36" s="19">
        <v>0</v>
      </c>
      <c r="Q36" s="19"/>
      <c r="R36" s="19"/>
      <c r="S36" s="19">
        <v>0</v>
      </c>
      <c r="T36" s="19"/>
      <c r="U36" s="19">
        <f t="shared" si="9"/>
        <v>0</v>
      </c>
      <c r="V36" s="94"/>
      <c r="W36" s="4"/>
    </row>
    <row r="37" spans="1:23" ht="24.75" hidden="1" customHeight="1" outlineLevel="3" x14ac:dyDescent="0.25">
      <c r="A37" s="45"/>
      <c r="B37" s="38"/>
      <c r="C37" s="46"/>
      <c r="D37" s="14"/>
      <c r="E37" s="147" t="s">
        <v>189</v>
      </c>
      <c r="F37" s="139"/>
      <c r="G37" s="139"/>
      <c r="H37" s="139"/>
      <c r="I37" s="15" t="s">
        <v>154</v>
      </c>
      <c r="J37" s="6" t="s">
        <v>10</v>
      </c>
      <c r="K37" s="6" t="s">
        <v>18</v>
      </c>
      <c r="L37" s="6" t="s">
        <v>11</v>
      </c>
      <c r="M37" s="19">
        <v>10</v>
      </c>
      <c r="N37" s="19"/>
      <c r="O37" s="19">
        <f>SUM(M37:N37)</f>
        <v>10</v>
      </c>
      <c r="P37" s="19">
        <v>10</v>
      </c>
      <c r="Q37" s="19"/>
      <c r="R37" s="19">
        <f>SUM(P37:Q37)</f>
        <v>10</v>
      </c>
      <c r="S37" s="19">
        <v>10</v>
      </c>
      <c r="T37" s="19"/>
      <c r="U37" s="19">
        <f t="shared" ref="U37:U38" si="11">SUM(S37:T37)</f>
        <v>10</v>
      </c>
      <c r="V37" s="9"/>
      <c r="W37" s="4"/>
    </row>
    <row r="38" spans="1:23" ht="42.75" hidden="1" customHeight="1" outlineLevel="3" x14ac:dyDescent="0.25">
      <c r="A38" s="45"/>
      <c r="B38" s="38"/>
      <c r="C38" s="46"/>
      <c r="D38" s="14"/>
      <c r="E38" s="147" t="s">
        <v>190</v>
      </c>
      <c r="F38" s="139"/>
      <c r="G38" s="139"/>
      <c r="H38" s="139"/>
      <c r="I38" s="15" t="s">
        <v>153</v>
      </c>
      <c r="J38" s="6" t="s">
        <v>10</v>
      </c>
      <c r="K38" s="6" t="s">
        <v>18</v>
      </c>
      <c r="L38" s="6" t="s">
        <v>26</v>
      </c>
      <c r="M38" s="19">
        <v>20</v>
      </c>
      <c r="N38" s="19"/>
      <c r="O38" s="19">
        <f>SUM(M38:N38)</f>
        <v>20</v>
      </c>
      <c r="P38" s="19">
        <v>20</v>
      </c>
      <c r="Q38" s="19"/>
      <c r="R38" s="19">
        <f>SUM(P38:Q38)</f>
        <v>20</v>
      </c>
      <c r="S38" s="19">
        <v>20</v>
      </c>
      <c r="T38" s="19"/>
      <c r="U38" s="19">
        <f t="shared" si="11"/>
        <v>20</v>
      </c>
      <c r="V38" s="9"/>
      <c r="W38" s="4"/>
    </row>
    <row r="39" spans="1:23" ht="37.5" customHeight="1" collapsed="1" x14ac:dyDescent="0.25">
      <c r="A39" s="45"/>
      <c r="B39" s="38"/>
      <c r="C39" s="46"/>
      <c r="D39" s="148" t="s">
        <v>192</v>
      </c>
      <c r="E39" s="138"/>
      <c r="F39" s="138"/>
      <c r="G39" s="138"/>
      <c r="H39" s="138"/>
      <c r="I39" s="72" t="s">
        <v>152</v>
      </c>
      <c r="J39" s="73" t="s">
        <v>10</v>
      </c>
      <c r="K39" s="73" t="s">
        <v>27</v>
      </c>
      <c r="L39" s="73" t="s">
        <v>4</v>
      </c>
      <c r="M39" s="74">
        <f t="shared" ref="M39:R39" si="12">M40</f>
        <v>500</v>
      </c>
      <c r="N39" s="74">
        <f t="shared" si="12"/>
        <v>0</v>
      </c>
      <c r="O39" s="74">
        <f t="shared" si="12"/>
        <v>500</v>
      </c>
      <c r="P39" s="74">
        <f t="shared" si="12"/>
        <v>500</v>
      </c>
      <c r="Q39" s="74">
        <f t="shared" si="12"/>
        <v>0</v>
      </c>
      <c r="R39" s="74">
        <f t="shared" si="12"/>
        <v>500</v>
      </c>
      <c r="S39" s="74">
        <v>500</v>
      </c>
      <c r="T39" s="74">
        <f>SUM(T40)</f>
        <v>-20</v>
      </c>
      <c r="U39" s="74">
        <f>SUM(S39:T39)</f>
        <v>480</v>
      </c>
      <c r="V39" s="75" t="s">
        <v>414</v>
      </c>
      <c r="W39" s="4"/>
    </row>
    <row r="40" spans="1:23" ht="84" hidden="1" customHeight="1" outlineLevel="1" x14ac:dyDescent="0.25">
      <c r="A40" s="45"/>
      <c r="B40" s="38"/>
      <c r="C40" s="46"/>
      <c r="D40" s="14"/>
      <c r="E40" s="139" t="s">
        <v>360</v>
      </c>
      <c r="F40" s="139"/>
      <c r="G40" s="139"/>
      <c r="H40" s="139"/>
      <c r="I40" s="15" t="s">
        <v>152</v>
      </c>
      <c r="J40" s="6" t="s">
        <v>10</v>
      </c>
      <c r="K40" s="6" t="s">
        <v>27</v>
      </c>
      <c r="L40" s="6" t="s">
        <v>13</v>
      </c>
      <c r="M40" s="19">
        <v>500</v>
      </c>
      <c r="N40" s="19"/>
      <c r="O40" s="19">
        <f>SUM(M40:N40)</f>
        <v>500</v>
      </c>
      <c r="P40" s="19">
        <v>500</v>
      </c>
      <c r="Q40" s="19"/>
      <c r="R40" s="19">
        <f>SUM(P40:Q40)</f>
        <v>500</v>
      </c>
      <c r="S40" s="19">
        <v>500</v>
      </c>
      <c r="T40" s="19">
        <v>-20</v>
      </c>
      <c r="U40" s="19">
        <f>SUM(S40:T40)</f>
        <v>480</v>
      </c>
      <c r="V40" s="82" t="s">
        <v>414</v>
      </c>
      <c r="W40" s="4"/>
    </row>
    <row r="41" spans="1:23" ht="27.75" customHeight="1" collapsed="1" x14ac:dyDescent="0.25">
      <c r="A41" s="45"/>
      <c r="B41" s="4"/>
      <c r="C41" s="47"/>
      <c r="D41" s="151" t="s">
        <v>321</v>
      </c>
      <c r="E41" s="154"/>
      <c r="F41" s="154"/>
      <c r="G41" s="154"/>
      <c r="H41" s="155"/>
      <c r="I41" s="60" t="s">
        <v>151</v>
      </c>
      <c r="J41" s="61" t="s">
        <v>7</v>
      </c>
      <c r="K41" s="61" t="s">
        <v>4</v>
      </c>
      <c r="L41" s="61" t="s">
        <v>4</v>
      </c>
      <c r="M41" s="63">
        <f>M42+M44</f>
        <v>40754.6</v>
      </c>
      <c r="N41" s="63">
        <f>N42+N44</f>
        <v>0</v>
      </c>
      <c r="O41" s="62">
        <f>SUM(M41:N41)</f>
        <v>40754.6</v>
      </c>
      <c r="P41" s="63">
        <f>P42+P44</f>
        <v>40754.6</v>
      </c>
      <c r="Q41" s="63">
        <f>Q42+Q44</f>
        <v>-455</v>
      </c>
      <c r="R41" s="62">
        <f>SUM(P41:Q41)</f>
        <v>40299.599999999999</v>
      </c>
      <c r="S41" s="62">
        <v>38900.699999999997</v>
      </c>
      <c r="T41" s="62">
        <f>SUM(T42+T44)</f>
        <v>-700</v>
      </c>
      <c r="U41" s="62">
        <f>SUM(S41:T41)</f>
        <v>38200.699999999997</v>
      </c>
      <c r="V41" s="65"/>
      <c r="W41" s="4"/>
    </row>
    <row r="42" spans="1:23" ht="45.75" customHeight="1" x14ac:dyDescent="0.25">
      <c r="A42" s="45"/>
      <c r="B42" s="38"/>
      <c r="C42" s="46"/>
      <c r="D42" s="148" t="s">
        <v>193</v>
      </c>
      <c r="E42" s="138"/>
      <c r="F42" s="138"/>
      <c r="G42" s="138"/>
      <c r="H42" s="138"/>
      <c r="I42" s="72" t="s">
        <v>150</v>
      </c>
      <c r="J42" s="73" t="s">
        <v>7</v>
      </c>
      <c r="K42" s="73" t="s">
        <v>23</v>
      </c>
      <c r="L42" s="73" t="s">
        <v>4</v>
      </c>
      <c r="M42" s="74">
        <f t="shared" ref="M42:R42" si="13">M43</f>
        <v>36577.599999999999</v>
      </c>
      <c r="N42" s="74">
        <f t="shared" si="13"/>
        <v>0</v>
      </c>
      <c r="O42" s="74">
        <f t="shared" si="13"/>
        <v>36577.599999999999</v>
      </c>
      <c r="P42" s="74">
        <f t="shared" si="13"/>
        <v>36577.599999999999</v>
      </c>
      <c r="Q42" s="74">
        <f t="shared" si="13"/>
        <v>0</v>
      </c>
      <c r="R42" s="74">
        <f t="shared" si="13"/>
        <v>36577.599999999999</v>
      </c>
      <c r="S42" s="74">
        <v>36990.400000000001</v>
      </c>
      <c r="T42" s="74">
        <f>SUM(T43)</f>
        <v>0</v>
      </c>
      <c r="U42" s="74">
        <f>SUM(S42:T42)</f>
        <v>36990.400000000001</v>
      </c>
      <c r="V42" s="75"/>
      <c r="W42" s="4"/>
    </row>
    <row r="43" spans="1:23" ht="47.25" hidden="1" customHeight="1" outlineLevel="1" x14ac:dyDescent="0.25">
      <c r="A43" s="45"/>
      <c r="B43" s="38"/>
      <c r="C43" s="46"/>
      <c r="D43" s="14"/>
      <c r="E43" s="147" t="s">
        <v>194</v>
      </c>
      <c r="F43" s="139"/>
      <c r="G43" s="139"/>
      <c r="H43" s="139"/>
      <c r="I43" s="15" t="s">
        <v>150</v>
      </c>
      <c r="J43" s="6" t="s">
        <v>7</v>
      </c>
      <c r="K43" s="6" t="s">
        <v>23</v>
      </c>
      <c r="L43" s="6" t="s">
        <v>13</v>
      </c>
      <c r="M43" s="19">
        <v>36577.599999999999</v>
      </c>
      <c r="N43" s="19"/>
      <c r="O43" s="19">
        <f>SUM(M43:N43)</f>
        <v>36577.599999999999</v>
      </c>
      <c r="P43" s="19">
        <v>36577.599999999999</v>
      </c>
      <c r="Q43" s="19"/>
      <c r="R43" s="19">
        <f>SUM(P43:Q43)</f>
        <v>36577.599999999999</v>
      </c>
      <c r="S43" s="19">
        <v>36990.400000000001</v>
      </c>
      <c r="T43" s="19"/>
      <c r="U43" s="19">
        <f t="shared" ref="U43:U45" si="14">SUM(S43:T43)</f>
        <v>36990.400000000001</v>
      </c>
      <c r="V43" s="9"/>
      <c r="W43" s="4"/>
    </row>
    <row r="44" spans="1:23" ht="35.25" customHeight="1" collapsed="1" x14ac:dyDescent="0.25">
      <c r="A44" s="45"/>
      <c r="B44" s="38"/>
      <c r="C44" s="46"/>
      <c r="D44" s="148" t="s">
        <v>287</v>
      </c>
      <c r="E44" s="138"/>
      <c r="F44" s="138"/>
      <c r="G44" s="138"/>
      <c r="H44" s="138"/>
      <c r="I44" s="72" t="s">
        <v>149</v>
      </c>
      <c r="J44" s="73" t="s">
        <v>7</v>
      </c>
      <c r="K44" s="73" t="s">
        <v>18</v>
      </c>
      <c r="L44" s="73" t="s">
        <v>4</v>
      </c>
      <c r="M44" s="74">
        <f t="shared" ref="M44:R44" si="15">M45</f>
        <v>4177</v>
      </c>
      <c r="N44" s="74">
        <f t="shared" si="15"/>
        <v>0</v>
      </c>
      <c r="O44" s="74">
        <f t="shared" si="15"/>
        <v>4177</v>
      </c>
      <c r="P44" s="74">
        <f t="shared" si="15"/>
        <v>4177</v>
      </c>
      <c r="Q44" s="74">
        <f t="shared" si="15"/>
        <v>-455</v>
      </c>
      <c r="R44" s="74">
        <f t="shared" si="15"/>
        <v>3722</v>
      </c>
      <c r="S44" s="74">
        <v>1910.3</v>
      </c>
      <c r="T44" s="74">
        <f>SUM(T45)</f>
        <v>-700</v>
      </c>
      <c r="U44" s="74">
        <f t="shared" si="14"/>
        <v>1210.3</v>
      </c>
      <c r="V44" s="75" t="s">
        <v>393</v>
      </c>
      <c r="W44" s="4"/>
    </row>
    <row r="45" spans="1:23" ht="42.75" hidden="1" customHeight="1" outlineLevel="1" x14ac:dyDescent="0.25">
      <c r="A45" s="45"/>
      <c r="B45" s="38"/>
      <c r="C45" s="46"/>
      <c r="D45" s="14"/>
      <c r="E45" s="147" t="s">
        <v>195</v>
      </c>
      <c r="F45" s="139"/>
      <c r="G45" s="139"/>
      <c r="H45" s="139"/>
      <c r="I45" s="15" t="s">
        <v>149</v>
      </c>
      <c r="J45" s="6" t="s">
        <v>7</v>
      </c>
      <c r="K45" s="6" t="s">
        <v>18</v>
      </c>
      <c r="L45" s="6" t="s">
        <v>13</v>
      </c>
      <c r="M45" s="19">
        <v>4177</v>
      </c>
      <c r="N45" s="19"/>
      <c r="O45" s="19">
        <f>SUM(M45:N45)</f>
        <v>4177</v>
      </c>
      <c r="P45" s="19">
        <v>4177</v>
      </c>
      <c r="Q45" s="19">
        <v>-455</v>
      </c>
      <c r="R45" s="19">
        <f>SUM(P45:Q45)</f>
        <v>3722</v>
      </c>
      <c r="S45" s="19">
        <v>1910.3</v>
      </c>
      <c r="T45" s="19">
        <v>-700</v>
      </c>
      <c r="U45" s="19">
        <f t="shared" si="14"/>
        <v>1210.3</v>
      </c>
      <c r="V45" s="9" t="s">
        <v>393</v>
      </c>
      <c r="W45" s="4"/>
    </row>
    <row r="46" spans="1:23" ht="74.25" customHeight="1" collapsed="1" x14ac:dyDescent="0.25">
      <c r="A46" s="45"/>
      <c r="B46" s="4"/>
      <c r="C46" s="47"/>
      <c r="D46" s="151" t="s">
        <v>303</v>
      </c>
      <c r="E46" s="152"/>
      <c r="F46" s="152"/>
      <c r="G46" s="152"/>
      <c r="H46" s="153"/>
      <c r="I46" s="66" t="s">
        <v>148</v>
      </c>
      <c r="J46" s="67" t="s">
        <v>5</v>
      </c>
      <c r="K46" s="67" t="s">
        <v>4</v>
      </c>
      <c r="L46" s="67" t="s">
        <v>4</v>
      </c>
      <c r="M46" s="62">
        <f>M47+M53+M57</f>
        <v>455568.6</v>
      </c>
      <c r="N46" s="62">
        <f>N47+N53+N57</f>
        <v>1751.4</v>
      </c>
      <c r="O46" s="62">
        <f>SUM(M46:N46)</f>
        <v>457320</v>
      </c>
      <c r="P46" s="62">
        <v>457320</v>
      </c>
      <c r="Q46" s="62">
        <f>Q47+Q53+Q57</f>
        <v>2688.1</v>
      </c>
      <c r="R46" s="62">
        <f>SUM(P46:Q46)</f>
        <v>460008.1</v>
      </c>
      <c r="S46" s="62">
        <v>464752.69999999995</v>
      </c>
      <c r="T46" s="62">
        <f>T47+T53+T57</f>
        <v>33585.800000000003</v>
      </c>
      <c r="U46" s="62">
        <f t="shared" ref="U46:U58" si="16">SUM(S46:T46)</f>
        <v>498338.49999999994</v>
      </c>
      <c r="V46" s="64"/>
      <c r="W46" s="4"/>
    </row>
    <row r="47" spans="1:23" ht="88.5" customHeight="1" x14ac:dyDescent="0.25">
      <c r="A47" s="45"/>
      <c r="B47" s="38"/>
      <c r="C47" s="46"/>
      <c r="D47" s="145" t="s">
        <v>178</v>
      </c>
      <c r="E47" s="138"/>
      <c r="F47" s="138"/>
      <c r="G47" s="138"/>
      <c r="H47" s="138"/>
      <c r="I47" s="72" t="s">
        <v>147</v>
      </c>
      <c r="J47" s="73" t="s">
        <v>5</v>
      </c>
      <c r="K47" s="73" t="s">
        <v>23</v>
      </c>
      <c r="L47" s="73" t="s">
        <v>4</v>
      </c>
      <c r="M47" s="74">
        <f>M48+M49+M50+M51+M52</f>
        <v>11559.1</v>
      </c>
      <c r="N47" s="74">
        <f>N48+N49+N50+N51+N52</f>
        <v>1526.9</v>
      </c>
      <c r="O47" s="74">
        <f>O48+O49+O50+O51+O52</f>
        <v>13086</v>
      </c>
      <c r="P47" s="74">
        <v>13086</v>
      </c>
      <c r="Q47" s="74">
        <f>Q48+Q49+Q50+Q51+Q52</f>
        <v>714.9</v>
      </c>
      <c r="R47" s="74">
        <f>R48+R49+R50+R51+R52</f>
        <v>13800.9</v>
      </c>
      <c r="S47" s="74">
        <v>15145.4</v>
      </c>
      <c r="T47" s="74">
        <f>T48+T49+T50+T51</f>
        <v>131</v>
      </c>
      <c r="U47" s="74">
        <f t="shared" si="16"/>
        <v>15276.4</v>
      </c>
      <c r="V47" s="75" t="s">
        <v>430</v>
      </c>
      <c r="W47" s="4"/>
    </row>
    <row r="48" spans="1:23" ht="85.5" hidden="1" customHeight="1" outlineLevel="1" x14ac:dyDescent="0.25">
      <c r="A48" s="45"/>
      <c r="B48" s="38"/>
      <c r="C48" s="46"/>
      <c r="D48" s="14"/>
      <c r="E48" s="139" t="s">
        <v>196</v>
      </c>
      <c r="F48" s="139"/>
      <c r="G48" s="139"/>
      <c r="H48" s="139"/>
      <c r="I48" s="15" t="s">
        <v>146</v>
      </c>
      <c r="J48" s="6" t="s">
        <v>5</v>
      </c>
      <c r="K48" s="6" t="s">
        <v>23</v>
      </c>
      <c r="L48" s="6" t="s">
        <v>13</v>
      </c>
      <c r="M48" s="19">
        <v>809.1</v>
      </c>
      <c r="N48" s="19"/>
      <c r="O48" s="19">
        <f t="shared" ref="O48:O62" si="17">SUM(M48:N48)</f>
        <v>809.1</v>
      </c>
      <c r="P48" s="19">
        <v>809.1</v>
      </c>
      <c r="Q48" s="19"/>
      <c r="R48" s="19">
        <f t="shared" ref="R48:R56" si="18">SUM(P48:Q48)</f>
        <v>809.1</v>
      </c>
      <c r="S48" s="19">
        <v>1365.7</v>
      </c>
      <c r="T48" s="19"/>
      <c r="U48" s="19">
        <f t="shared" si="16"/>
        <v>1365.7</v>
      </c>
      <c r="V48" s="9"/>
      <c r="W48" s="4"/>
    </row>
    <row r="49" spans="1:23" ht="54.75" hidden="1" customHeight="1" outlineLevel="1" x14ac:dyDescent="0.25">
      <c r="A49" s="45"/>
      <c r="B49" s="38"/>
      <c r="C49" s="46"/>
      <c r="D49" s="14"/>
      <c r="E49" s="139" t="s">
        <v>197</v>
      </c>
      <c r="F49" s="139"/>
      <c r="G49" s="139"/>
      <c r="H49" s="139"/>
      <c r="I49" s="15" t="s">
        <v>145</v>
      </c>
      <c r="J49" s="6" t="s">
        <v>5</v>
      </c>
      <c r="K49" s="6" t="s">
        <v>23</v>
      </c>
      <c r="L49" s="6" t="s">
        <v>11</v>
      </c>
      <c r="M49" s="19">
        <v>50</v>
      </c>
      <c r="N49" s="19">
        <v>527</v>
      </c>
      <c r="O49" s="19">
        <f t="shared" si="17"/>
        <v>577</v>
      </c>
      <c r="P49" s="19">
        <v>577</v>
      </c>
      <c r="Q49" s="19">
        <v>500</v>
      </c>
      <c r="R49" s="19">
        <f t="shared" si="18"/>
        <v>1077</v>
      </c>
      <c r="S49" s="19">
        <v>837.9</v>
      </c>
      <c r="T49" s="19"/>
      <c r="U49" s="19">
        <f t="shared" si="16"/>
        <v>837.9</v>
      </c>
      <c r="V49" s="9"/>
      <c r="W49" s="4"/>
    </row>
    <row r="50" spans="1:23" ht="75" hidden="1" customHeight="1" outlineLevel="1" x14ac:dyDescent="0.25">
      <c r="A50" s="45"/>
      <c r="B50" s="38"/>
      <c r="C50" s="46"/>
      <c r="D50" s="14"/>
      <c r="E50" s="139" t="s">
        <v>198</v>
      </c>
      <c r="F50" s="139"/>
      <c r="G50" s="139"/>
      <c r="H50" s="139"/>
      <c r="I50" s="15" t="s">
        <v>144</v>
      </c>
      <c r="J50" s="6" t="s">
        <v>5</v>
      </c>
      <c r="K50" s="6" t="s">
        <v>23</v>
      </c>
      <c r="L50" s="6" t="s">
        <v>26</v>
      </c>
      <c r="M50" s="19">
        <v>5200</v>
      </c>
      <c r="N50" s="19">
        <f>999.9</f>
        <v>999.9</v>
      </c>
      <c r="O50" s="19">
        <f t="shared" si="17"/>
        <v>6199.9</v>
      </c>
      <c r="P50" s="19">
        <v>6199.9</v>
      </c>
      <c r="Q50" s="19">
        <v>214.9</v>
      </c>
      <c r="R50" s="19">
        <f t="shared" si="18"/>
        <v>6414.7999999999993</v>
      </c>
      <c r="S50" s="19">
        <v>7441.7999999999993</v>
      </c>
      <c r="T50" s="19">
        <f>-8.9+139.9</f>
        <v>131</v>
      </c>
      <c r="U50" s="19">
        <f t="shared" si="16"/>
        <v>7572.7999999999993</v>
      </c>
      <c r="V50" s="9" t="s">
        <v>415</v>
      </c>
      <c r="W50" s="4"/>
    </row>
    <row r="51" spans="1:23" ht="66.75" hidden="1" customHeight="1" outlineLevel="1" x14ac:dyDescent="0.25">
      <c r="A51" s="45"/>
      <c r="B51" s="38"/>
      <c r="C51" s="46"/>
      <c r="D51" s="14"/>
      <c r="E51" s="156" t="s">
        <v>352</v>
      </c>
      <c r="F51" s="149"/>
      <c r="G51" s="149"/>
      <c r="H51" s="150"/>
      <c r="I51" s="15"/>
      <c r="J51" s="6" t="s">
        <v>5</v>
      </c>
      <c r="K51" s="6" t="s">
        <v>23</v>
      </c>
      <c r="L51" s="11" t="s">
        <v>10</v>
      </c>
      <c r="M51" s="19">
        <v>500</v>
      </c>
      <c r="N51" s="19"/>
      <c r="O51" s="19">
        <f t="shared" si="17"/>
        <v>500</v>
      </c>
      <c r="P51" s="19">
        <v>500</v>
      </c>
      <c r="Q51" s="19"/>
      <c r="R51" s="19">
        <f t="shared" si="18"/>
        <v>500</v>
      </c>
      <c r="S51" s="19">
        <v>500</v>
      </c>
      <c r="T51" s="19"/>
      <c r="U51" s="19">
        <f t="shared" si="16"/>
        <v>500</v>
      </c>
      <c r="V51" s="9"/>
      <c r="W51" s="4"/>
    </row>
    <row r="52" spans="1:23" ht="22.5" hidden="1" customHeight="1" outlineLevel="1" x14ac:dyDescent="0.25">
      <c r="A52" s="45"/>
      <c r="B52" s="38"/>
      <c r="C52" s="46"/>
      <c r="D52" s="14"/>
      <c r="E52" s="138" t="s">
        <v>199</v>
      </c>
      <c r="F52" s="138"/>
      <c r="G52" s="138"/>
      <c r="H52" s="138"/>
      <c r="I52" s="72" t="s">
        <v>142</v>
      </c>
      <c r="J52" s="73" t="s">
        <v>5</v>
      </c>
      <c r="K52" s="73" t="s">
        <v>23</v>
      </c>
      <c r="L52" s="73" t="s">
        <v>143</v>
      </c>
      <c r="M52" s="74">
        <v>5000</v>
      </c>
      <c r="N52" s="74"/>
      <c r="O52" s="74">
        <f t="shared" si="17"/>
        <v>5000</v>
      </c>
      <c r="P52" s="74">
        <v>5000</v>
      </c>
      <c r="Q52" s="74"/>
      <c r="R52" s="74">
        <f t="shared" si="18"/>
        <v>5000</v>
      </c>
      <c r="S52" s="74">
        <v>5000</v>
      </c>
      <c r="T52" s="74"/>
      <c r="U52" s="74">
        <f t="shared" si="16"/>
        <v>5000</v>
      </c>
      <c r="V52" s="77"/>
      <c r="W52" s="4"/>
    </row>
    <row r="53" spans="1:23" ht="90.75" customHeight="1" collapsed="1" x14ac:dyDescent="0.25">
      <c r="A53" s="45"/>
      <c r="B53" s="38"/>
      <c r="C53" s="46"/>
      <c r="D53" s="145" t="s">
        <v>200</v>
      </c>
      <c r="E53" s="138"/>
      <c r="F53" s="138"/>
      <c r="G53" s="138"/>
      <c r="H53" s="138"/>
      <c r="I53" s="72" t="s">
        <v>141</v>
      </c>
      <c r="J53" s="73" t="s">
        <v>5</v>
      </c>
      <c r="K53" s="73" t="s">
        <v>18</v>
      </c>
      <c r="L53" s="73" t="s">
        <v>4</v>
      </c>
      <c r="M53" s="74">
        <f>M54+M55+M56</f>
        <v>3184.2</v>
      </c>
      <c r="N53" s="74">
        <f>N54+N55+N56</f>
        <v>224.5</v>
      </c>
      <c r="O53" s="74">
        <f>SUM(M53:N53)</f>
        <v>3408.7</v>
      </c>
      <c r="P53" s="74">
        <v>3408.7</v>
      </c>
      <c r="Q53" s="74">
        <f>Q54+Q55+Q56</f>
        <v>0</v>
      </c>
      <c r="R53" s="74">
        <f t="shared" si="18"/>
        <v>3408.7</v>
      </c>
      <c r="S53" s="74">
        <v>3910.7999999999997</v>
      </c>
      <c r="T53" s="74">
        <f>T54+T55+T56</f>
        <v>0</v>
      </c>
      <c r="U53" s="74">
        <f t="shared" si="16"/>
        <v>3910.7999999999997</v>
      </c>
      <c r="V53" s="75"/>
      <c r="W53" s="4"/>
    </row>
    <row r="54" spans="1:23" ht="52.5" hidden="1" customHeight="1" outlineLevel="1" x14ac:dyDescent="0.25">
      <c r="A54" s="45"/>
      <c r="B54" s="38"/>
      <c r="C54" s="46"/>
      <c r="D54" s="14"/>
      <c r="E54" s="139" t="s">
        <v>201</v>
      </c>
      <c r="F54" s="139"/>
      <c r="G54" s="139"/>
      <c r="H54" s="139"/>
      <c r="I54" s="15" t="s">
        <v>140</v>
      </c>
      <c r="J54" s="6" t="s">
        <v>5</v>
      </c>
      <c r="K54" s="6" t="s">
        <v>18</v>
      </c>
      <c r="L54" s="6" t="s">
        <v>13</v>
      </c>
      <c r="M54" s="19">
        <v>100</v>
      </c>
      <c r="N54" s="19"/>
      <c r="O54" s="19">
        <f t="shared" si="17"/>
        <v>100</v>
      </c>
      <c r="P54" s="19">
        <v>100</v>
      </c>
      <c r="Q54" s="19"/>
      <c r="R54" s="19">
        <f t="shared" si="18"/>
        <v>100</v>
      </c>
      <c r="S54" s="19">
        <v>100</v>
      </c>
      <c r="T54" s="19"/>
      <c r="U54" s="19">
        <f t="shared" si="16"/>
        <v>100</v>
      </c>
      <c r="V54" s="21"/>
      <c r="W54" s="4"/>
    </row>
    <row r="55" spans="1:23" ht="55.5" hidden="1" customHeight="1" outlineLevel="1" x14ac:dyDescent="0.25">
      <c r="A55" s="45"/>
      <c r="B55" s="38"/>
      <c r="C55" s="46"/>
      <c r="D55" s="14"/>
      <c r="E55" s="139" t="s">
        <v>202</v>
      </c>
      <c r="F55" s="139"/>
      <c r="G55" s="139"/>
      <c r="H55" s="139"/>
      <c r="I55" s="15" t="s">
        <v>139</v>
      </c>
      <c r="J55" s="6" t="s">
        <v>5</v>
      </c>
      <c r="K55" s="6" t="s">
        <v>18</v>
      </c>
      <c r="L55" s="6" t="s">
        <v>11</v>
      </c>
      <c r="M55" s="19">
        <v>284.2</v>
      </c>
      <c r="N55" s="19">
        <f>224.5</f>
        <v>224.5</v>
      </c>
      <c r="O55" s="19">
        <f t="shared" si="17"/>
        <v>508.7</v>
      </c>
      <c r="P55" s="19">
        <v>508.7</v>
      </c>
      <c r="Q55" s="19"/>
      <c r="R55" s="19">
        <f t="shared" si="18"/>
        <v>508.7</v>
      </c>
      <c r="S55" s="19">
        <v>508.7</v>
      </c>
      <c r="T55" s="19"/>
      <c r="U55" s="19">
        <f t="shared" si="16"/>
        <v>508.7</v>
      </c>
      <c r="V55" s="9"/>
      <c r="W55" s="4"/>
    </row>
    <row r="56" spans="1:23" ht="81.75" hidden="1" customHeight="1" outlineLevel="1" x14ac:dyDescent="0.25">
      <c r="A56" s="45"/>
      <c r="B56" s="38"/>
      <c r="C56" s="46"/>
      <c r="D56" s="14"/>
      <c r="E56" s="139" t="s">
        <v>306</v>
      </c>
      <c r="F56" s="139"/>
      <c r="G56" s="139"/>
      <c r="H56" s="139"/>
      <c r="I56" s="15" t="s">
        <v>138</v>
      </c>
      <c r="J56" s="6" t="s">
        <v>5</v>
      </c>
      <c r="K56" s="6" t="s">
        <v>18</v>
      </c>
      <c r="L56" s="6" t="s">
        <v>26</v>
      </c>
      <c r="M56" s="19">
        <v>2800</v>
      </c>
      <c r="N56" s="19"/>
      <c r="O56" s="18">
        <f t="shared" si="17"/>
        <v>2800</v>
      </c>
      <c r="P56" s="19">
        <v>2800</v>
      </c>
      <c r="Q56" s="19"/>
      <c r="R56" s="18">
        <f t="shared" si="18"/>
        <v>2800</v>
      </c>
      <c r="S56" s="19">
        <v>3302.1</v>
      </c>
      <c r="T56" s="19"/>
      <c r="U56" s="19">
        <f t="shared" si="16"/>
        <v>3302.1</v>
      </c>
      <c r="V56" s="9"/>
      <c r="W56" s="4"/>
    </row>
    <row r="57" spans="1:23" ht="90.75" customHeight="1" collapsed="1" x14ac:dyDescent="0.25">
      <c r="A57" s="45"/>
      <c r="B57" s="38"/>
      <c r="C57" s="46"/>
      <c r="D57" s="145" t="s">
        <v>203</v>
      </c>
      <c r="E57" s="138"/>
      <c r="F57" s="138"/>
      <c r="G57" s="138"/>
      <c r="H57" s="138"/>
      <c r="I57" s="72" t="s">
        <v>137</v>
      </c>
      <c r="J57" s="73" t="s">
        <v>5</v>
      </c>
      <c r="K57" s="73">
        <v>3</v>
      </c>
      <c r="L57" s="73" t="s">
        <v>4</v>
      </c>
      <c r="M57" s="74">
        <f>M58</f>
        <v>440825.3</v>
      </c>
      <c r="N57" s="74">
        <f>N58</f>
        <v>0</v>
      </c>
      <c r="O57" s="74">
        <f>O58</f>
        <v>440825.3</v>
      </c>
      <c r="P57" s="74">
        <v>440825.3</v>
      </c>
      <c r="Q57" s="74">
        <f>Q58</f>
        <v>1973.2</v>
      </c>
      <c r="R57" s="74">
        <f>R58</f>
        <v>442798.5</v>
      </c>
      <c r="S57" s="74">
        <v>445696.5</v>
      </c>
      <c r="T57" s="74">
        <f>SUM(T58)</f>
        <v>33454.800000000003</v>
      </c>
      <c r="U57" s="74">
        <f t="shared" si="16"/>
        <v>479151.3</v>
      </c>
      <c r="V57" s="75" t="s">
        <v>429</v>
      </c>
      <c r="W57" s="4"/>
    </row>
    <row r="58" spans="1:23" ht="89.25" hidden="1" customHeight="1" outlineLevel="1" x14ac:dyDescent="0.25">
      <c r="A58" s="45"/>
      <c r="B58" s="38"/>
      <c r="C58" s="46"/>
      <c r="D58" s="14"/>
      <c r="E58" s="139" t="s">
        <v>204</v>
      </c>
      <c r="F58" s="139"/>
      <c r="G58" s="139"/>
      <c r="H58" s="139"/>
      <c r="I58" s="15" t="s">
        <v>137</v>
      </c>
      <c r="J58" s="6" t="s">
        <v>5</v>
      </c>
      <c r="K58" s="6" t="s">
        <v>27</v>
      </c>
      <c r="L58" s="6" t="s">
        <v>13</v>
      </c>
      <c r="M58" s="19">
        <v>440825.3</v>
      </c>
      <c r="N58" s="19"/>
      <c r="O58" s="19">
        <f t="shared" si="17"/>
        <v>440825.3</v>
      </c>
      <c r="P58" s="19">
        <v>440825.3</v>
      </c>
      <c r="Q58" s="19">
        <v>1973.2</v>
      </c>
      <c r="R58" s="19">
        <f>SUM(P58:Q58)</f>
        <v>442798.5</v>
      </c>
      <c r="S58" s="19">
        <v>445696.5</v>
      </c>
      <c r="T58" s="19">
        <f>10770.7+8.9+22675.2</f>
        <v>33454.800000000003</v>
      </c>
      <c r="U58" s="19">
        <f t="shared" si="16"/>
        <v>479151.3</v>
      </c>
      <c r="V58" s="9" t="s">
        <v>416</v>
      </c>
      <c r="W58" s="4"/>
    </row>
    <row r="59" spans="1:23" ht="40.5" customHeight="1" collapsed="1" x14ac:dyDescent="0.25">
      <c r="A59" s="45"/>
      <c r="B59" s="4"/>
      <c r="C59" s="47"/>
      <c r="D59" s="151" t="s">
        <v>322</v>
      </c>
      <c r="E59" s="154"/>
      <c r="F59" s="154"/>
      <c r="G59" s="154"/>
      <c r="H59" s="155"/>
      <c r="I59" s="60" t="s">
        <v>136</v>
      </c>
      <c r="J59" s="61" t="s">
        <v>1</v>
      </c>
      <c r="K59" s="61" t="s">
        <v>4</v>
      </c>
      <c r="L59" s="61" t="s">
        <v>4</v>
      </c>
      <c r="M59" s="63">
        <f>M60</f>
        <v>150</v>
      </c>
      <c r="N59" s="63">
        <f>N60</f>
        <v>0</v>
      </c>
      <c r="O59" s="62">
        <f>SUM(M59:N59)</f>
        <v>150</v>
      </c>
      <c r="P59" s="63">
        <f>P60</f>
        <v>150</v>
      </c>
      <c r="Q59" s="63">
        <f>Q60</f>
        <v>27.5</v>
      </c>
      <c r="R59" s="62">
        <f>SUM(P59:Q59)</f>
        <v>177.5</v>
      </c>
      <c r="S59" s="62">
        <v>227.5</v>
      </c>
      <c r="T59" s="62">
        <f>SUM(T60)</f>
        <v>0</v>
      </c>
      <c r="U59" s="62">
        <f>SUM(S59:T59)</f>
        <v>227.5</v>
      </c>
      <c r="V59" s="64"/>
      <c r="W59" s="4"/>
    </row>
    <row r="60" spans="1:23" ht="36" hidden="1" customHeight="1" outlineLevel="1" x14ac:dyDescent="0.25">
      <c r="A60" s="45"/>
      <c r="B60" s="38"/>
      <c r="C60" s="46"/>
      <c r="D60" s="14"/>
      <c r="E60" s="147" t="s">
        <v>205</v>
      </c>
      <c r="F60" s="139"/>
      <c r="G60" s="139"/>
      <c r="H60" s="139"/>
      <c r="I60" s="15" t="s">
        <v>136</v>
      </c>
      <c r="J60" s="6" t="s">
        <v>1</v>
      </c>
      <c r="K60" s="6" t="s">
        <v>2</v>
      </c>
      <c r="L60" s="6" t="s">
        <v>13</v>
      </c>
      <c r="M60" s="19">
        <v>150</v>
      </c>
      <c r="N60" s="19"/>
      <c r="O60" s="19">
        <f t="shared" si="17"/>
        <v>150</v>
      </c>
      <c r="P60" s="19">
        <v>150</v>
      </c>
      <c r="Q60" s="19">
        <v>27.5</v>
      </c>
      <c r="R60" s="19">
        <f>SUM(P60:Q60)</f>
        <v>177.5</v>
      </c>
      <c r="S60" s="19">
        <v>227.5</v>
      </c>
      <c r="T60" s="19"/>
      <c r="U60" s="106">
        <f t="shared" ref="U60:U63" si="19">SUM(S60:T60)</f>
        <v>227.5</v>
      </c>
      <c r="V60" s="9"/>
      <c r="W60" s="4"/>
    </row>
    <row r="61" spans="1:23" ht="90" customHeight="1" collapsed="1" x14ac:dyDescent="0.25">
      <c r="A61" s="45"/>
      <c r="B61" s="4"/>
      <c r="C61" s="47"/>
      <c r="D61" s="151" t="s">
        <v>299</v>
      </c>
      <c r="E61" s="154"/>
      <c r="F61" s="154"/>
      <c r="G61" s="154"/>
      <c r="H61" s="155"/>
      <c r="I61" s="60" t="s">
        <v>135</v>
      </c>
      <c r="J61" s="61" t="s">
        <v>134</v>
      </c>
      <c r="K61" s="61" t="s">
        <v>4</v>
      </c>
      <c r="L61" s="61" t="s">
        <v>4</v>
      </c>
      <c r="M61" s="63">
        <f>M62</f>
        <v>22049.200000000001</v>
      </c>
      <c r="N61" s="63">
        <f>N62</f>
        <v>0</v>
      </c>
      <c r="O61" s="62">
        <f>SUM(M61:N61)</f>
        <v>22049.200000000001</v>
      </c>
      <c r="P61" s="63">
        <f>P62</f>
        <v>22049.200000000001</v>
      </c>
      <c r="Q61" s="63">
        <f>Q62</f>
        <v>594.5</v>
      </c>
      <c r="R61" s="62">
        <f>SUM(P61:Q61)</f>
        <v>22643.7</v>
      </c>
      <c r="S61" s="62">
        <v>23573.7</v>
      </c>
      <c r="T61" s="62">
        <f>SUM(T62)</f>
        <v>2126</v>
      </c>
      <c r="U61" s="62">
        <f t="shared" si="19"/>
        <v>25699.7</v>
      </c>
      <c r="V61" s="92" t="s">
        <v>417</v>
      </c>
      <c r="W61" s="4"/>
    </row>
    <row r="62" spans="1:23" ht="84.75" hidden="1" customHeight="1" outlineLevel="1" x14ac:dyDescent="0.25">
      <c r="A62" s="45"/>
      <c r="B62" s="38"/>
      <c r="C62" s="46"/>
      <c r="D62" s="14"/>
      <c r="E62" s="139" t="s">
        <v>378</v>
      </c>
      <c r="F62" s="139"/>
      <c r="G62" s="139"/>
      <c r="H62" s="139"/>
      <c r="I62" s="15" t="s">
        <v>135</v>
      </c>
      <c r="J62" s="6" t="s">
        <v>134</v>
      </c>
      <c r="K62" s="6" t="s">
        <v>2</v>
      </c>
      <c r="L62" s="6" t="s">
        <v>13</v>
      </c>
      <c r="M62" s="19">
        <v>22049.200000000001</v>
      </c>
      <c r="N62" s="19"/>
      <c r="O62" s="19">
        <f t="shared" si="17"/>
        <v>22049.200000000001</v>
      </c>
      <c r="P62" s="19">
        <v>22049.200000000001</v>
      </c>
      <c r="Q62" s="19">
        <v>594.5</v>
      </c>
      <c r="R62" s="19">
        <f>SUM(P62:Q62)</f>
        <v>22643.7</v>
      </c>
      <c r="S62" s="19">
        <v>23573.7</v>
      </c>
      <c r="T62" s="19">
        <f>541+300+1285</f>
        <v>2126</v>
      </c>
      <c r="U62" s="106">
        <f t="shared" si="19"/>
        <v>25699.7</v>
      </c>
      <c r="V62" s="81" t="s">
        <v>417</v>
      </c>
      <c r="W62" s="4"/>
    </row>
    <row r="63" spans="1:23" ht="42" customHeight="1" collapsed="1" x14ac:dyDescent="0.25">
      <c r="A63" s="45"/>
      <c r="B63" s="4"/>
      <c r="C63" s="47"/>
      <c r="D63" s="151" t="s">
        <v>361</v>
      </c>
      <c r="E63" s="152"/>
      <c r="F63" s="152"/>
      <c r="G63" s="152"/>
      <c r="H63" s="153"/>
      <c r="I63" s="66" t="s">
        <v>133</v>
      </c>
      <c r="J63" s="67" t="s">
        <v>124</v>
      </c>
      <c r="K63" s="67" t="s">
        <v>4</v>
      </c>
      <c r="L63" s="67" t="s">
        <v>4</v>
      </c>
      <c r="M63" s="62">
        <f>M64+M69+M74</f>
        <v>256334.6</v>
      </c>
      <c r="N63" s="62">
        <f>N64+N69+N74</f>
        <v>3393.2</v>
      </c>
      <c r="O63" s="62">
        <f>O64+O69+O74</f>
        <v>259727.80000000002</v>
      </c>
      <c r="P63" s="62">
        <v>259727.80000000002</v>
      </c>
      <c r="Q63" s="62">
        <f>Q64+Q69+Q74</f>
        <v>3038.5999999999995</v>
      </c>
      <c r="R63" s="62">
        <f>R64+R69+R74</f>
        <v>262766.40000000002</v>
      </c>
      <c r="S63" s="62">
        <v>266181</v>
      </c>
      <c r="T63" s="62">
        <f>SUM(T64+T69+T74)</f>
        <v>18901.2</v>
      </c>
      <c r="U63" s="62">
        <f t="shared" si="19"/>
        <v>285082.2</v>
      </c>
      <c r="V63" s="64"/>
      <c r="W63" s="4"/>
    </row>
    <row r="64" spans="1:23" ht="68.25" customHeight="1" x14ac:dyDescent="0.25">
      <c r="A64" s="45"/>
      <c r="B64" s="38"/>
      <c r="C64" s="46"/>
      <c r="D64" s="145" t="s">
        <v>206</v>
      </c>
      <c r="E64" s="138"/>
      <c r="F64" s="138"/>
      <c r="G64" s="138"/>
      <c r="H64" s="138"/>
      <c r="I64" s="72" t="s">
        <v>132</v>
      </c>
      <c r="J64" s="73" t="s">
        <v>124</v>
      </c>
      <c r="K64" s="73">
        <v>1</v>
      </c>
      <c r="L64" s="73" t="s">
        <v>4</v>
      </c>
      <c r="M64" s="74">
        <f>M65+M66+M67+M68</f>
        <v>243479.7</v>
      </c>
      <c r="N64" s="74">
        <f>N65+N66+N67+N68</f>
        <v>2393.1999999999998</v>
      </c>
      <c r="O64" s="74">
        <f>SUM(M64:N64)</f>
        <v>245872.90000000002</v>
      </c>
      <c r="P64" s="74">
        <v>245872.90000000002</v>
      </c>
      <c r="Q64" s="74">
        <f>Q65+Q66+Q67+Q68</f>
        <v>1677.2999999999995</v>
      </c>
      <c r="R64" s="74">
        <f>SUM(P64:Q64)</f>
        <v>247550.2</v>
      </c>
      <c r="S64" s="74">
        <v>251911.40000000002</v>
      </c>
      <c r="T64" s="74">
        <f>SUM(T65+T66+T67+T68)</f>
        <v>19115.900000000001</v>
      </c>
      <c r="U64" s="74">
        <f>SUM(S64:T64)</f>
        <v>271027.30000000005</v>
      </c>
      <c r="V64" s="75" t="s">
        <v>435</v>
      </c>
      <c r="W64" s="4"/>
    </row>
    <row r="65" spans="1:23" ht="38.25" hidden="1" customHeight="1" outlineLevel="1" x14ac:dyDescent="0.25">
      <c r="A65" s="45"/>
      <c r="B65" s="38"/>
      <c r="C65" s="46"/>
      <c r="D65" s="14"/>
      <c r="E65" s="139" t="s">
        <v>207</v>
      </c>
      <c r="F65" s="139"/>
      <c r="G65" s="139"/>
      <c r="H65" s="139"/>
      <c r="I65" s="15" t="s">
        <v>131</v>
      </c>
      <c r="J65" s="6" t="s">
        <v>124</v>
      </c>
      <c r="K65" s="6" t="s">
        <v>23</v>
      </c>
      <c r="L65" s="6" t="s">
        <v>13</v>
      </c>
      <c r="M65" s="19">
        <v>200</v>
      </c>
      <c r="N65" s="19"/>
      <c r="O65" s="19">
        <f t="shared" ref="O65:O80" si="20">SUM(M65:N65)</f>
        <v>200</v>
      </c>
      <c r="P65" s="19">
        <v>200</v>
      </c>
      <c r="Q65" s="19"/>
      <c r="R65" s="19">
        <f>SUM(P65:Q65)</f>
        <v>200</v>
      </c>
      <c r="S65" s="19">
        <v>200</v>
      </c>
      <c r="T65" s="19"/>
      <c r="U65" s="19">
        <f t="shared" ref="U65:U76" si="21">SUM(S65:T65)</f>
        <v>200</v>
      </c>
      <c r="V65" s="9"/>
      <c r="W65" s="4"/>
    </row>
    <row r="66" spans="1:23" ht="36" hidden="1" customHeight="1" outlineLevel="1" x14ac:dyDescent="0.25">
      <c r="A66" s="45"/>
      <c r="B66" s="38"/>
      <c r="C66" s="46"/>
      <c r="D66" s="14"/>
      <c r="E66" s="139" t="s">
        <v>208</v>
      </c>
      <c r="F66" s="139"/>
      <c r="G66" s="139"/>
      <c r="H66" s="139"/>
      <c r="I66" s="15" t="s">
        <v>130</v>
      </c>
      <c r="J66" s="6" t="s">
        <v>124</v>
      </c>
      <c r="K66" s="6" t="s">
        <v>23</v>
      </c>
      <c r="L66" s="6" t="s">
        <v>11</v>
      </c>
      <c r="M66" s="19">
        <v>200</v>
      </c>
      <c r="N66" s="19"/>
      <c r="O66" s="19">
        <f t="shared" si="20"/>
        <v>200</v>
      </c>
      <c r="P66" s="19">
        <v>200</v>
      </c>
      <c r="Q66" s="19"/>
      <c r="R66" s="19">
        <f>SUM(P66:Q66)</f>
        <v>200</v>
      </c>
      <c r="S66" s="19">
        <v>200</v>
      </c>
      <c r="T66" s="19"/>
      <c r="U66" s="19">
        <f t="shared" si="21"/>
        <v>200</v>
      </c>
      <c r="V66" s="9"/>
      <c r="W66" s="4"/>
    </row>
    <row r="67" spans="1:23" ht="75.75" hidden="1" customHeight="1" outlineLevel="1" x14ac:dyDescent="0.25">
      <c r="A67" s="45"/>
      <c r="B67" s="38"/>
      <c r="C67" s="46"/>
      <c r="D67" s="14"/>
      <c r="E67" s="139" t="s">
        <v>209</v>
      </c>
      <c r="F67" s="139"/>
      <c r="G67" s="139"/>
      <c r="H67" s="139"/>
      <c r="I67" s="15" t="s">
        <v>129</v>
      </c>
      <c r="J67" s="6" t="s">
        <v>124</v>
      </c>
      <c r="K67" s="6" t="s">
        <v>23</v>
      </c>
      <c r="L67" s="6" t="s">
        <v>10</v>
      </c>
      <c r="M67" s="19">
        <v>2250</v>
      </c>
      <c r="N67" s="19">
        <f>1460.2+933</f>
        <v>2393.1999999999998</v>
      </c>
      <c r="O67" s="19">
        <f t="shared" si="20"/>
        <v>4643.2</v>
      </c>
      <c r="P67" s="19">
        <v>4643.2</v>
      </c>
      <c r="Q67" s="19">
        <f>-1161.3+2300</f>
        <v>1138.7</v>
      </c>
      <c r="R67" s="19">
        <f>SUM(P67:Q67)</f>
        <v>5781.9</v>
      </c>
      <c r="S67" s="19">
        <v>6059.4</v>
      </c>
      <c r="T67" s="19"/>
      <c r="U67" s="19">
        <f t="shared" si="21"/>
        <v>6059.4</v>
      </c>
      <c r="V67" s="9"/>
      <c r="W67" s="4"/>
    </row>
    <row r="68" spans="1:23" ht="125.25" hidden="1" customHeight="1" outlineLevel="1" x14ac:dyDescent="0.25">
      <c r="A68" s="45"/>
      <c r="B68" s="38"/>
      <c r="C68" s="46"/>
      <c r="D68" s="14"/>
      <c r="E68" s="139" t="s">
        <v>210</v>
      </c>
      <c r="F68" s="139"/>
      <c r="G68" s="139"/>
      <c r="H68" s="139"/>
      <c r="I68" s="15" t="s">
        <v>128</v>
      </c>
      <c r="J68" s="6" t="s">
        <v>124</v>
      </c>
      <c r="K68" s="6" t="s">
        <v>23</v>
      </c>
      <c r="L68" s="6" t="s">
        <v>7</v>
      </c>
      <c r="M68" s="19">
        <v>240829.7</v>
      </c>
      <c r="N68" s="19"/>
      <c r="O68" s="19">
        <f t="shared" si="20"/>
        <v>240829.7</v>
      </c>
      <c r="P68" s="19">
        <v>240829.7</v>
      </c>
      <c r="Q68" s="19">
        <f>-1524.3+4362.9-2300</f>
        <v>538.59999999999945</v>
      </c>
      <c r="R68" s="19">
        <f>SUM(P68:Q68)</f>
        <v>241368.30000000002</v>
      </c>
      <c r="S68" s="19">
        <v>245452.00000000003</v>
      </c>
      <c r="T68" s="19">
        <f>5102.9+14013</f>
        <v>19115.900000000001</v>
      </c>
      <c r="U68" s="19">
        <f t="shared" si="21"/>
        <v>264567.90000000002</v>
      </c>
      <c r="V68" s="9" t="s">
        <v>411</v>
      </c>
      <c r="W68" s="4"/>
    </row>
    <row r="69" spans="1:23" ht="69.75" customHeight="1" collapsed="1" x14ac:dyDescent="0.25">
      <c r="A69" s="45"/>
      <c r="B69" s="38"/>
      <c r="C69" s="46"/>
      <c r="D69" s="145" t="s">
        <v>211</v>
      </c>
      <c r="E69" s="138"/>
      <c r="F69" s="138"/>
      <c r="G69" s="138"/>
      <c r="H69" s="138"/>
      <c r="I69" s="72" t="s">
        <v>127</v>
      </c>
      <c r="J69" s="73" t="s">
        <v>124</v>
      </c>
      <c r="K69" s="73" t="s">
        <v>18</v>
      </c>
      <c r="L69" s="73" t="s">
        <v>4</v>
      </c>
      <c r="M69" s="74">
        <f>M70+M71+M72+M73</f>
        <v>12854.900000000001</v>
      </c>
      <c r="N69" s="74">
        <f>N70+N71+N72+N73</f>
        <v>1000</v>
      </c>
      <c r="O69" s="74">
        <f>O70+O71+O72+O73</f>
        <v>13854.900000000001</v>
      </c>
      <c r="P69" s="74">
        <v>13854.900000000001</v>
      </c>
      <c r="Q69" s="74">
        <f>Q70+Q71+Q72+Q73</f>
        <v>1361.3</v>
      </c>
      <c r="R69" s="74">
        <f>R70+R71+R72+R73</f>
        <v>15216.2</v>
      </c>
      <c r="S69" s="74">
        <v>14269.6</v>
      </c>
      <c r="T69" s="74">
        <f>SUM(T70+T71+T72+T73)</f>
        <v>-214.7</v>
      </c>
      <c r="U69" s="74">
        <f t="shared" si="21"/>
        <v>14054.9</v>
      </c>
      <c r="V69" s="75" t="s">
        <v>453</v>
      </c>
      <c r="W69" s="4"/>
    </row>
    <row r="70" spans="1:23" ht="50.25" hidden="1" customHeight="1" outlineLevel="1" x14ac:dyDescent="0.25">
      <c r="A70" s="45"/>
      <c r="B70" s="38"/>
      <c r="C70" s="46"/>
      <c r="D70" s="14"/>
      <c r="E70" s="139" t="s">
        <v>376</v>
      </c>
      <c r="F70" s="139"/>
      <c r="G70" s="139"/>
      <c r="H70" s="139"/>
      <c r="I70" s="15" t="s">
        <v>126</v>
      </c>
      <c r="J70" s="6" t="s">
        <v>124</v>
      </c>
      <c r="K70" s="6" t="s">
        <v>18</v>
      </c>
      <c r="L70" s="6" t="s">
        <v>13</v>
      </c>
      <c r="M70" s="19">
        <v>7246.6</v>
      </c>
      <c r="N70" s="19"/>
      <c r="O70" s="19">
        <f t="shared" si="20"/>
        <v>7246.6</v>
      </c>
      <c r="P70" s="19">
        <v>7246.6</v>
      </c>
      <c r="Q70" s="19">
        <f>200</f>
        <v>200</v>
      </c>
      <c r="R70" s="19">
        <f>SUM(P70:Q70)</f>
        <v>7446.6</v>
      </c>
      <c r="S70" s="19">
        <v>7446.6</v>
      </c>
      <c r="T70" s="19">
        <f>0.1</f>
        <v>0.1</v>
      </c>
      <c r="U70" s="19">
        <f t="shared" si="21"/>
        <v>7446.7000000000007</v>
      </c>
      <c r="V70" s="9" t="s">
        <v>423</v>
      </c>
      <c r="W70" s="4"/>
    </row>
    <row r="71" spans="1:23" ht="78.75" hidden="1" customHeight="1" outlineLevel="1" x14ac:dyDescent="0.25">
      <c r="A71" s="45"/>
      <c r="B71" s="38"/>
      <c r="C71" s="46"/>
      <c r="D71" s="14"/>
      <c r="E71" s="139" t="s">
        <v>212</v>
      </c>
      <c r="F71" s="139"/>
      <c r="G71" s="139"/>
      <c r="H71" s="139"/>
      <c r="I71" s="15" t="s">
        <v>125</v>
      </c>
      <c r="J71" s="6" t="s">
        <v>124</v>
      </c>
      <c r="K71" s="6" t="s">
        <v>18</v>
      </c>
      <c r="L71" s="6" t="s">
        <v>26</v>
      </c>
      <c r="M71" s="19">
        <v>4385.8</v>
      </c>
      <c r="N71" s="19">
        <f>1000</f>
        <v>1000</v>
      </c>
      <c r="O71" s="19">
        <f t="shared" si="20"/>
        <v>5385.8</v>
      </c>
      <c r="P71" s="19">
        <v>5385.8</v>
      </c>
      <c r="Q71" s="19"/>
      <c r="R71" s="19">
        <f>SUM(P71:Q71)</f>
        <v>5385.8</v>
      </c>
      <c r="S71" s="19">
        <v>5385.8</v>
      </c>
      <c r="T71" s="19">
        <f>-0.1</f>
        <v>-0.1</v>
      </c>
      <c r="U71" s="19">
        <f t="shared" si="21"/>
        <v>5385.7</v>
      </c>
      <c r="V71" s="9" t="s">
        <v>424</v>
      </c>
      <c r="W71" s="4"/>
    </row>
    <row r="72" spans="1:23" ht="46.5" hidden="1" customHeight="1" outlineLevel="1" x14ac:dyDescent="0.25">
      <c r="A72" s="45"/>
      <c r="B72" s="4"/>
      <c r="C72" s="48"/>
      <c r="D72" s="14"/>
      <c r="E72" s="139" t="s">
        <v>341</v>
      </c>
      <c r="F72" s="139"/>
      <c r="G72" s="139"/>
      <c r="H72" s="139"/>
      <c r="I72" s="15">
        <v>920400000</v>
      </c>
      <c r="J72" s="6" t="s">
        <v>124</v>
      </c>
      <c r="K72" s="6" t="s">
        <v>18</v>
      </c>
      <c r="L72" s="11" t="s">
        <v>10</v>
      </c>
      <c r="M72" s="19">
        <v>1222.5</v>
      </c>
      <c r="N72" s="19">
        <f>-1222.5</f>
        <v>-1222.5</v>
      </c>
      <c r="O72" s="19">
        <f>SUM(M72:N72)</f>
        <v>0</v>
      </c>
      <c r="P72" s="19">
        <v>0</v>
      </c>
      <c r="Q72" s="19"/>
      <c r="R72" s="19">
        <f>SUM(P72:Q72)</f>
        <v>0</v>
      </c>
      <c r="S72" s="19">
        <v>214.7</v>
      </c>
      <c r="T72" s="19">
        <v>-214.7</v>
      </c>
      <c r="U72" s="19">
        <f t="shared" si="21"/>
        <v>0</v>
      </c>
      <c r="V72" s="9" t="s">
        <v>453</v>
      </c>
      <c r="W72" s="4"/>
    </row>
    <row r="73" spans="1:23" ht="47.25" hidden="1" customHeight="1" outlineLevel="1" x14ac:dyDescent="0.25">
      <c r="A73" s="45"/>
      <c r="B73" s="4"/>
      <c r="C73" s="48"/>
      <c r="D73" s="14"/>
      <c r="E73" s="139" t="s">
        <v>348</v>
      </c>
      <c r="F73" s="139"/>
      <c r="G73" s="139"/>
      <c r="H73" s="139"/>
      <c r="I73" s="15">
        <v>920400000</v>
      </c>
      <c r="J73" s="6" t="s">
        <v>124</v>
      </c>
      <c r="K73" s="6" t="s">
        <v>18</v>
      </c>
      <c r="L73" s="11" t="s">
        <v>7</v>
      </c>
      <c r="M73" s="19">
        <v>0</v>
      </c>
      <c r="N73" s="19">
        <v>1222.5</v>
      </c>
      <c r="O73" s="19">
        <f t="shared" si="20"/>
        <v>1222.5</v>
      </c>
      <c r="P73" s="19">
        <v>1222.5</v>
      </c>
      <c r="Q73" s="19">
        <f>1161.3</f>
        <v>1161.3</v>
      </c>
      <c r="R73" s="19">
        <f>SUM(P73:Q73)</f>
        <v>2383.8000000000002</v>
      </c>
      <c r="S73" s="19">
        <v>1222.5000000000002</v>
      </c>
      <c r="T73" s="19"/>
      <c r="U73" s="19">
        <f t="shared" si="21"/>
        <v>1222.5000000000002</v>
      </c>
      <c r="V73" s="9"/>
      <c r="W73" s="4"/>
    </row>
    <row r="74" spans="1:23" ht="30.75" customHeight="1" collapsed="1" x14ac:dyDescent="0.25">
      <c r="A74" s="45"/>
      <c r="B74" s="4"/>
      <c r="C74" s="48"/>
      <c r="D74" s="14"/>
      <c r="E74" s="145" t="s">
        <v>365</v>
      </c>
      <c r="F74" s="138"/>
      <c r="G74" s="138"/>
      <c r="H74" s="138"/>
      <c r="I74" s="138"/>
      <c r="J74" s="73" t="s">
        <v>124</v>
      </c>
      <c r="K74" s="73">
        <v>3</v>
      </c>
      <c r="L74" s="76"/>
      <c r="M74" s="74">
        <f>SUM(M75+M76)</f>
        <v>0</v>
      </c>
      <c r="N74" s="74">
        <f>SUM(N75+N76)</f>
        <v>0</v>
      </c>
      <c r="O74" s="74">
        <f>SUM(O75+O76)</f>
        <v>0</v>
      </c>
      <c r="P74" s="74">
        <v>0</v>
      </c>
      <c r="Q74" s="74">
        <f>SUM(Q75+Q76)</f>
        <v>0</v>
      </c>
      <c r="R74" s="74">
        <f>SUM(R75+R76)</f>
        <v>0</v>
      </c>
      <c r="S74" s="74">
        <v>0</v>
      </c>
      <c r="T74" s="74">
        <f>SUM(T75+T76)</f>
        <v>0</v>
      </c>
      <c r="U74" s="74">
        <f t="shared" si="21"/>
        <v>0</v>
      </c>
      <c r="V74" s="75"/>
      <c r="W74" s="4"/>
    </row>
    <row r="75" spans="1:23" ht="47.25" hidden="1" customHeight="1" outlineLevel="1" x14ac:dyDescent="0.25">
      <c r="A75" s="45"/>
      <c r="B75" s="4"/>
      <c r="C75" s="48"/>
      <c r="D75" s="14"/>
      <c r="E75" s="139" t="s">
        <v>363</v>
      </c>
      <c r="F75" s="139"/>
      <c r="G75" s="139"/>
      <c r="H75" s="139"/>
      <c r="I75" s="16"/>
      <c r="J75" s="7" t="s">
        <v>124</v>
      </c>
      <c r="K75" s="7">
        <v>3</v>
      </c>
      <c r="L75" s="7" t="s">
        <v>13</v>
      </c>
      <c r="M75" s="18">
        <v>0</v>
      </c>
      <c r="N75" s="18"/>
      <c r="O75" s="19">
        <f t="shared" si="20"/>
        <v>0</v>
      </c>
      <c r="P75" s="19">
        <v>0</v>
      </c>
      <c r="Q75" s="18"/>
      <c r="R75" s="19">
        <f t="shared" ref="R75:R87" si="22">SUM(P75:Q75)</f>
        <v>0</v>
      </c>
      <c r="S75" s="19">
        <v>0</v>
      </c>
      <c r="T75" s="19"/>
      <c r="U75" s="19">
        <f t="shared" si="21"/>
        <v>0</v>
      </c>
      <c r="V75" s="9"/>
      <c r="W75" s="4"/>
    </row>
    <row r="76" spans="1:23" ht="47.25" hidden="1" customHeight="1" outlineLevel="1" x14ac:dyDescent="0.25">
      <c r="A76" s="45"/>
      <c r="B76" s="4"/>
      <c r="C76" s="48"/>
      <c r="D76" s="14"/>
      <c r="E76" s="139" t="s">
        <v>364</v>
      </c>
      <c r="F76" s="139"/>
      <c r="G76" s="139"/>
      <c r="H76" s="139"/>
      <c r="I76" s="16"/>
      <c r="J76" s="7">
        <v>9</v>
      </c>
      <c r="K76" s="7">
        <v>3</v>
      </c>
      <c r="L76" s="88" t="s">
        <v>13</v>
      </c>
      <c r="M76" s="18">
        <v>0</v>
      </c>
      <c r="N76" s="18"/>
      <c r="O76" s="19">
        <f t="shared" si="20"/>
        <v>0</v>
      </c>
      <c r="P76" s="19">
        <v>0</v>
      </c>
      <c r="Q76" s="18"/>
      <c r="R76" s="19">
        <f t="shared" si="22"/>
        <v>0</v>
      </c>
      <c r="S76" s="19">
        <v>0</v>
      </c>
      <c r="T76" s="19"/>
      <c r="U76" s="19">
        <f t="shared" si="21"/>
        <v>0</v>
      </c>
      <c r="V76" s="9"/>
      <c r="W76" s="4"/>
    </row>
    <row r="77" spans="1:23" ht="51" customHeight="1" collapsed="1" x14ac:dyDescent="0.25">
      <c r="A77" s="45"/>
      <c r="B77" s="4"/>
      <c r="C77" s="47"/>
      <c r="D77" s="151" t="s">
        <v>312</v>
      </c>
      <c r="E77" s="154"/>
      <c r="F77" s="154"/>
      <c r="G77" s="154"/>
      <c r="H77" s="155"/>
      <c r="I77" s="60" t="s">
        <v>123</v>
      </c>
      <c r="J77" s="61" t="s">
        <v>120</v>
      </c>
      <c r="K77" s="61" t="s">
        <v>4</v>
      </c>
      <c r="L77" s="61" t="s">
        <v>4</v>
      </c>
      <c r="M77" s="63">
        <f>M78+M79+M80</f>
        <v>10000</v>
      </c>
      <c r="N77" s="63">
        <f>N78+N79+N80</f>
        <v>-219.8</v>
      </c>
      <c r="O77" s="62">
        <f>SUM(M77:N77)</f>
        <v>9780.2000000000007</v>
      </c>
      <c r="P77" s="63">
        <f>P78+P79+P80</f>
        <v>9930.2000000000007</v>
      </c>
      <c r="Q77" s="63">
        <f>Q78+Q79+Q80</f>
        <v>-370.1</v>
      </c>
      <c r="R77" s="62">
        <f t="shared" si="22"/>
        <v>9560.1</v>
      </c>
      <c r="S77" s="62">
        <v>20037.400000000001</v>
      </c>
      <c r="T77" s="62">
        <f>SUM(T78+T79+T80)</f>
        <v>-2485.3000000000002</v>
      </c>
      <c r="U77" s="62">
        <f>SUM(S77:T77)</f>
        <v>17552.100000000002</v>
      </c>
      <c r="V77" s="64" t="s">
        <v>452</v>
      </c>
      <c r="W77" s="4"/>
    </row>
    <row r="78" spans="1:23" ht="34.5" hidden="1" customHeight="1" outlineLevel="1" x14ac:dyDescent="0.25">
      <c r="A78" s="45"/>
      <c r="B78" s="38"/>
      <c r="C78" s="46"/>
      <c r="D78" s="14"/>
      <c r="E78" s="140" t="s">
        <v>213</v>
      </c>
      <c r="F78" s="141"/>
      <c r="G78" s="141"/>
      <c r="H78" s="142"/>
      <c r="I78" s="15" t="s">
        <v>122</v>
      </c>
      <c r="J78" s="6" t="s">
        <v>120</v>
      </c>
      <c r="K78" s="6" t="s">
        <v>2</v>
      </c>
      <c r="L78" s="6" t="s">
        <v>13</v>
      </c>
      <c r="M78" s="19">
        <v>0</v>
      </c>
      <c r="N78" s="19"/>
      <c r="O78" s="19">
        <f t="shared" si="20"/>
        <v>0</v>
      </c>
      <c r="P78" s="19">
        <v>0</v>
      </c>
      <c r="Q78" s="19"/>
      <c r="R78" s="19">
        <f t="shared" si="22"/>
        <v>0</v>
      </c>
      <c r="S78" s="19">
        <v>0</v>
      </c>
      <c r="T78" s="19"/>
      <c r="U78" s="106">
        <f t="shared" ref="U78:U81" si="23">SUM(S78:T78)</f>
        <v>0</v>
      </c>
      <c r="V78" s="9"/>
      <c r="W78" s="4"/>
    </row>
    <row r="79" spans="1:23" ht="51.75" hidden="1" customHeight="1" outlineLevel="1" x14ac:dyDescent="0.25">
      <c r="A79" s="45"/>
      <c r="B79" s="38"/>
      <c r="C79" s="46"/>
      <c r="D79" s="14"/>
      <c r="E79" s="139" t="s">
        <v>214</v>
      </c>
      <c r="F79" s="139"/>
      <c r="G79" s="139"/>
      <c r="H79" s="139"/>
      <c r="I79" s="15" t="s">
        <v>121</v>
      </c>
      <c r="J79" s="6">
        <v>10</v>
      </c>
      <c r="K79" s="6" t="s">
        <v>2</v>
      </c>
      <c r="L79" s="6" t="s">
        <v>11</v>
      </c>
      <c r="M79" s="19">
        <v>9300</v>
      </c>
      <c r="N79" s="19">
        <f>-219.8</f>
        <v>-219.8</v>
      </c>
      <c r="O79" s="19">
        <f t="shared" si="20"/>
        <v>9080.2000000000007</v>
      </c>
      <c r="P79" s="19">
        <f>9080.2+150</f>
        <v>9230.2000000000007</v>
      </c>
      <c r="Q79" s="19">
        <f>-355.1</f>
        <v>-355.1</v>
      </c>
      <c r="R79" s="19">
        <f t="shared" si="22"/>
        <v>8875.1</v>
      </c>
      <c r="S79" s="19">
        <v>18776.599999999999</v>
      </c>
      <c r="T79" s="19">
        <v>-2700</v>
      </c>
      <c r="U79" s="106">
        <f t="shared" si="23"/>
        <v>16076.599999999999</v>
      </c>
      <c r="V79" s="9" t="s">
        <v>439</v>
      </c>
      <c r="W79" s="4"/>
    </row>
    <row r="80" spans="1:23" ht="45.75" hidden="1" customHeight="1" outlineLevel="1" x14ac:dyDescent="0.25">
      <c r="A80" s="45"/>
      <c r="B80" s="38"/>
      <c r="C80" s="46"/>
      <c r="D80" s="14"/>
      <c r="E80" s="147" t="s">
        <v>215</v>
      </c>
      <c r="F80" s="139"/>
      <c r="G80" s="139"/>
      <c r="H80" s="139"/>
      <c r="I80" s="15" t="s">
        <v>119</v>
      </c>
      <c r="J80" s="6" t="s">
        <v>120</v>
      </c>
      <c r="K80" s="6" t="s">
        <v>2</v>
      </c>
      <c r="L80" s="6" t="s">
        <v>26</v>
      </c>
      <c r="M80" s="19">
        <v>700</v>
      </c>
      <c r="N80" s="19"/>
      <c r="O80" s="19">
        <f t="shared" si="20"/>
        <v>700</v>
      </c>
      <c r="P80" s="19">
        <v>700</v>
      </c>
      <c r="Q80" s="19">
        <v>-15</v>
      </c>
      <c r="R80" s="19">
        <f t="shared" si="22"/>
        <v>685</v>
      </c>
      <c r="S80" s="19">
        <v>1260.8</v>
      </c>
      <c r="T80" s="19">
        <v>214.7</v>
      </c>
      <c r="U80" s="106">
        <f t="shared" si="23"/>
        <v>1475.5</v>
      </c>
      <c r="V80" s="9" t="s">
        <v>451</v>
      </c>
      <c r="W80" s="4"/>
    </row>
    <row r="81" spans="1:24" ht="33.75" customHeight="1" collapsed="1" x14ac:dyDescent="0.25">
      <c r="A81" s="45"/>
      <c r="B81" s="4"/>
      <c r="C81" s="47"/>
      <c r="D81" s="151" t="s">
        <v>313</v>
      </c>
      <c r="E81" s="154"/>
      <c r="F81" s="154"/>
      <c r="G81" s="154"/>
      <c r="H81" s="155"/>
      <c r="I81" s="60" t="s">
        <v>118</v>
      </c>
      <c r="J81" s="61" t="s">
        <v>108</v>
      </c>
      <c r="K81" s="61" t="s">
        <v>4</v>
      </c>
      <c r="L81" s="61" t="s">
        <v>4</v>
      </c>
      <c r="M81" s="63">
        <f>SUM(M82+M84+M87+M92)</f>
        <v>821696.2</v>
      </c>
      <c r="N81" s="63">
        <f>SUM(N82+N84+N87+N92)</f>
        <v>11478.9</v>
      </c>
      <c r="O81" s="62">
        <f>SUM(M81:N81)</f>
        <v>833175.1</v>
      </c>
      <c r="P81" s="63">
        <v>833175.1</v>
      </c>
      <c r="Q81" s="63">
        <f>SUM(Q82+Q84+Q87+Q92)</f>
        <v>100217.4</v>
      </c>
      <c r="R81" s="62">
        <f t="shared" si="22"/>
        <v>933392.5</v>
      </c>
      <c r="S81" s="62">
        <v>940903.5</v>
      </c>
      <c r="T81" s="62">
        <f>SUM(T82+T84+T87+T92)</f>
        <v>205190.2</v>
      </c>
      <c r="U81" s="62">
        <f t="shared" si="23"/>
        <v>1146093.7</v>
      </c>
      <c r="V81" s="65"/>
      <c r="W81" s="4"/>
    </row>
    <row r="82" spans="1:24" ht="22.5" customHeight="1" x14ac:dyDescent="0.25">
      <c r="A82" s="45"/>
      <c r="B82" s="38"/>
      <c r="C82" s="46"/>
      <c r="D82" s="148" t="s">
        <v>216</v>
      </c>
      <c r="E82" s="138"/>
      <c r="F82" s="138"/>
      <c r="G82" s="138"/>
      <c r="H82" s="138"/>
      <c r="I82" s="72" t="s">
        <v>117</v>
      </c>
      <c r="J82" s="73" t="s">
        <v>108</v>
      </c>
      <c r="K82" s="73" t="s">
        <v>23</v>
      </c>
      <c r="L82" s="73" t="s">
        <v>4</v>
      </c>
      <c r="M82" s="74">
        <f>M83</f>
        <v>2070.6</v>
      </c>
      <c r="N82" s="74">
        <f>N83</f>
        <v>0</v>
      </c>
      <c r="O82" s="74">
        <f>SUM(M82:N82)</f>
        <v>2070.6</v>
      </c>
      <c r="P82" s="74">
        <v>2070.6</v>
      </c>
      <c r="Q82" s="74">
        <f>Q83</f>
        <v>453.5</v>
      </c>
      <c r="R82" s="74">
        <f t="shared" si="22"/>
        <v>2524.1</v>
      </c>
      <c r="S82" s="74">
        <v>2524.1</v>
      </c>
      <c r="T82" s="74">
        <f>SUM(T83)</f>
        <v>0</v>
      </c>
      <c r="U82" s="74">
        <f>SUM(S82:T82)</f>
        <v>2524.1</v>
      </c>
      <c r="V82" s="78"/>
      <c r="W82" s="4"/>
    </row>
    <row r="83" spans="1:24" ht="55.5" hidden="1" customHeight="1" outlineLevel="1" x14ac:dyDescent="0.25">
      <c r="A83" s="45"/>
      <c r="B83" s="38"/>
      <c r="C83" s="46"/>
      <c r="D83" s="87"/>
      <c r="E83" s="146" t="s">
        <v>286</v>
      </c>
      <c r="F83" s="146"/>
      <c r="G83" s="146"/>
      <c r="H83" s="146"/>
      <c r="I83" s="15"/>
      <c r="J83" s="8" t="s">
        <v>108</v>
      </c>
      <c r="K83" s="8" t="s">
        <v>23</v>
      </c>
      <c r="L83" s="8" t="s">
        <v>13</v>
      </c>
      <c r="M83" s="19">
        <v>2070.6</v>
      </c>
      <c r="N83" s="19"/>
      <c r="O83" s="19">
        <f>SUM(M83:N83)</f>
        <v>2070.6</v>
      </c>
      <c r="P83" s="19">
        <v>2070.6</v>
      </c>
      <c r="Q83" s="19">
        <f>430.9+22.6</f>
        <v>453.5</v>
      </c>
      <c r="R83" s="19">
        <f t="shared" si="22"/>
        <v>2524.1</v>
      </c>
      <c r="S83" s="19">
        <v>2524.1</v>
      </c>
      <c r="T83" s="19"/>
      <c r="U83" s="19">
        <f t="shared" ref="U83:U93" si="24">SUM(S83:T83)</f>
        <v>2524.1</v>
      </c>
      <c r="V83" s="22"/>
      <c r="W83" s="4"/>
    </row>
    <row r="84" spans="1:24" ht="73.5" customHeight="1" collapsed="1" x14ac:dyDescent="0.25">
      <c r="A84" s="45"/>
      <c r="B84" s="38"/>
      <c r="C84" s="46"/>
      <c r="D84" s="148" t="s">
        <v>217</v>
      </c>
      <c r="E84" s="138"/>
      <c r="F84" s="138"/>
      <c r="G84" s="138"/>
      <c r="H84" s="138"/>
      <c r="I84" s="72" t="s">
        <v>116</v>
      </c>
      <c r="J84" s="73" t="s">
        <v>108</v>
      </c>
      <c r="K84" s="73" t="s">
        <v>18</v>
      </c>
      <c r="L84" s="73" t="s">
        <v>4</v>
      </c>
      <c r="M84" s="74">
        <f>M85+M86</f>
        <v>36372.5</v>
      </c>
      <c r="N84" s="74">
        <f>N85+N86</f>
        <v>0</v>
      </c>
      <c r="O84" s="74">
        <f>SUM(M84:N84)</f>
        <v>36372.5</v>
      </c>
      <c r="P84" s="74">
        <v>36372.5</v>
      </c>
      <c r="Q84" s="74">
        <f>Q85+Q86</f>
        <v>0</v>
      </c>
      <c r="R84" s="74">
        <f t="shared" si="22"/>
        <v>36372.5</v>
      </c>
      <c r="S84" s="74">
        <v>35098.5</v>
      </c>
      <c r="T84" s="74">
        <f>SUM(T85+T86)</f>
        <v>5190.2</v>
      </c>
      <c r="U84" s="74">
        <f t="shared" si="24"/>
        <v>40288.699999999997</v>
      </c>
      <c r="V84" s="75" t="s">
        <v>438</v>
      </c>
      <c r="W84" s="4"/>
    </row>
    <row r="85" spans="1:24" ht="77.25" hidden="1" customHeight="1" outlineLevel="1" x14ac:dyDescent="0.25">
      <c r="A85" s="45"/>
      <c r="B85" s="38"/>
      <c r="C85" s="46"/>
      <c r="D85" s="14"/>
      <c r="E85" s="147" t="s">
        <v>218</v>
      </c>
      <c r="F85" s="139"/>
      <c r="G85" s="139"/>
      <c r="H85" s="139"/>
      <c r="I85" s="15" t="s">
        <v>115</v>
      </c>
      <c r="J85" s="6" t="s">
        <v>108</v>
      </c>
      <c r="K85" s="6" t="s">
        <v>18</v>
      </c>
      <c r="L85" s="6" t="s">
        <v>13</v>
      </c>
      <c r="M85" s="19">
        <v>36360.300000000003</v>
      </c>
      <c r="N85" s="19"/>
      <c r="O85" s="19">
        <f t="shared" ref="O85:O98" si="25">SUM(M85:N85)</f>
        <v>36360.300000000003</v>
      </c>
      <c r="P85" s="19">
        <v>36360.300000000003</v>
      </c>
      <c r="Q85" s="19"/>
      <c r="R85" s="19">
        <f t="shared" si="22"/>
        <v>36360.300000000003</v>
      </c>
      <c r="S85" s="19">
        <v>35086.300000000003</v>
      </c>
      <c r="T85" s="19">
        <f>2490.2+2700</f>
        <v>5190.2</v>
      </c>
      <c r="U85" s="19">
        <f t="shared" si="24"/>
        <v>40276.5</v>
      </c>
      <c r="V85" s="9" t="s">
        <v>437</v>
      </c>
      <c r="W85" s="4"/>
    </row>
    <row r="86" spans="1:24" ht="84" hidden="1" customHeight="1" outlineLevel="1" x14ac:dyDescent="0.25">
      <c r="A86" s="45"/>
      <c r="B86" s="38"/>
      <c r="C86" s="46"/>
      <c r="D86" s="14"/>
      <c r="E86" s="147" t="s">
        <v>219</v>
      </c>
      <c r="F86" s="139"/>
      <c r="G86" s="139"/>
      <c r="H86" s="139"/>
      <c r="I86" s="15" t="s">
        <v>114</v>
      </c>
      <c r="J86" s="6" t="s">
        <v>108</v>
      </c>
      <c r="K86" s="6" t="s">
        <v>18</v>
      </c>
      <c r="L86" s="6" t="s">
        <v>11</v>
      </c>
      <c r="M86" s="19">
        <v>12.2</v>
      </c>
      <c r="N86" s="19"/>
      <c r="O86" s="19">
        <f t="shared" si="25"/>
        <v>12.2</v>
      </c>
      <c r="P86" s="19">
        <v>12.2</v>
      </c>
      <c r="Q86" s="19"/>
      <c r="R86" s="19">
        <f t="shared" si="22"/>
        <v>12.2</v>
      </c>
      <c r="S86" s="19">
        <v>12.2</v>
      </c>
      <c r="T86" s="19"/>
      <c r="U86" s="19">
        <f t="shared" si="24"/>
        <v>12.2</v>
      </c>
      <c r="V86" s="9"/>
      <c r="W86" s="4"/>
    </row>
    <row r="87" spans="1:24" ht="57.75" customHeight="1" collapsed="1" x14ac:dyDescent="0.25">
      <c r="A87" s="45"/>
      <c r="B87" s="38"/>
      <c r="C87" s="46"/>
      <c r="D87" s="145" t="s">
        <v>323</v>
      </c>
      <c r="E87" s="138"/>
      <c r="F87" s="138"/>
      <c r="G87" s="138"/>
      <c r="H87" s="138"/>
      <c r="I87" s="72" t="s">
        <v>113</v>
      </c>
      <c r="J87" s="73" t="s">
        <v>108</v>
      </c>
      <c r="K87" s="73" t="s">
        <v>27</v>
      </c>
      <c r="L87" s="73" t="s">
        <v>4</v>
      </c>
      <c r="M87" s="74">
        <f>M88+M90+M91</f>
        <v>783253.1</v>
      </c>
      <c r="N87" s="74">
        <f>N88+N90+N91+N89</f>
        <v>11478.9</v>
      </c>
      <c r="O87" s="74">
        <f>SUM(M87:N87)</f>
        <v>794732</v>
      </c>
      <c r="P87" s="74">
        <v>794732</v>
      </c>
      <c r="Q87" s="74">
        <f>Q88+Q90+Q91+Q89</f>
        <v>99763.9</v>
      </c>
      <c r="R87" s="74">
        <f t="shared" si="22"/>
        <v>894495.9</v>
      </c>
      <c r="S87" s="74">
        <v>903280.9</v>
      </c>
      <c r="T87" s="74">
        <f>SUM(T88+T89+T90+T91)</f>
        <v>200000</v>
      </c>
      <c r="U87" s="74">
        <f t="shared" si="24"/>
        <v>1103280.8999999999</v>
      </c>
      <c r="V87" s="79" t="s">
        <v>402</v>
      </c>
      <c r="W87" s="4"/>
    </row>
    <row r="88" spans="1:24" ht="60" hidden="1" customHeight="1" outlineLevel="1" x14ac:dyDescent="0.25">
      <c r="A88" s="45"/>
      <c r="B88" s="38"/>
      <c r="C88" s="46"/>
      <c r="D88" s="14"/>
      <c r="E88" s="139" t="s">
        <v>220</v>
      </c>
      <c r="F88" s="139"/>
      <c r="G88" s="139"/>
      <c r="H88" s="139"/>
      <c r="I88" s="15" t="s">
        <v>112</v>
      </c>
      <c r="J88" s="6" t="s">
        <v>108</v>
      </c>
      <c r="K88" s="6" t="s">
        <v>27</v>
      </c>
      <c r="L88" s="6" t="s">
        <v>13</v>
      </c>
      <c r="M88" s="19">
        <v>26837.9</v>
      </c>
      <c r="N88" s="19">
        <f>-1500+2200</f>
        <v>700</v>
      </c>
      <c r="O88" s="19">
        <f t="shared" si="25"/>
        <v>27537.9</v>
      </c>
      <c r="P88" s="19">
        <v>27537.9</v>
      </c>
      <c r="Q88" s="19">
        <f>59276.4+4461.7-3000</f>
        <v>60738.1</v>
      </c>
      <c r="R88" s="19">
        <f t="shared" ref="R88:R93" si="26">SUM(P88:Q88)</f>
        <v>88276</v>
      </c>
      <c r="S88" s="19">
        <v>97061</v>
      </c>
      <c r="T88" s="19"/>
      <c r="U88" s="19">
        <f t="shared" si="24"/>
        <v>97061</v>
      </c>
      <c r="V88" s="9"/>
      <c r="W88" s="4"/>
    </row>
    <row r="89" spans="1:24" ht="46.5" hidden="1" customHeight="1" outlineLevel="1" x14ac:dyDescent="0.25">
      <c r="A89" s="45"/>
      <c r="B89" s="38"/>
      <c r="C89" s="46"/>
      <c r="D89" s="14"/>
      <c r="E89" s="156" t="s">
        <v>358</v>
      </c>
      <c r="F89" s="149"/>
      <c r="G89" s="149"/>
      <c r="H89" s="150"/>
      <c r="I89" s="15"/>
      <c r="J89" s="6">
        <v>11</v>
      </c>
      <c r="K89" s="6">
        <v>3</v>
      </c>
      <c r="L89" s="6" t="s">
        <v>11</v>
      </c>
      <c r="M89" s="19">
        <v>0</v>
      </c>
      <c r="N89" s="19">
        <v>7518.3</v>
      </c>
      <c r="O89" s="19">
        <f t="shared" si="25"/>
        <v>7518.3</v>
      </c>
      <c r="P89" s="19">
        <v>7518.3</v>
      </c>
      <c r="Q89" s="19">
        <v>-7518.3</v>
      </c>
      <c r="R89" s="19">
        <f t="shared" si="26"/>
        <v>0</v>
      </c>
      <c r="S89" s="19">
        <v>0</v>
      </c>
      <c r="T89" s="19"/>
      <c r="U89" s="19">
        <f t="shared" si="24"/>
        <v>0</v>
      </c>
      <c r="V89" s="9"/>
      <c r="W89" s="4"/>
    </row>
    <row r="90" spans="1:24" ht="49.5" hidden="1" customHeight="1" outlineLevel="1" x14ac:dyDescent="0.25">
      <c r="A90" s="45"/>
      <c r="B90" s="38"/>
      <c r="C90" s="46"/>
      <c r="D90" s="14"/>
      <c r="E90" s="147" t="s">
        <v>221</v>
      </c>
      <c r="F90" s="139"/>
      <c r="G90" s="139"/>
      <c r="H90" s="139"/>
      <c r="I90" s="15" t="s">
        <v>111</v>
      </c>
      <c r="J90" s="6" t="s">
        <v>108</v>
      </c>
      <c r="K90" s="6" t="s">
        <v>27</v>
      </c>
      <c r="L90" s="6" t="s">
        <v>26</v>
      </c>
      <c r="M90" s="19">
        <v>0</v>
      </c>
      <c r="N90" s="19"/>
      <c r="O90" s="19">
        <f t="shared" si="25"/>
        <v>0</v>
      </c>
      <c r="P90" s="19">
        <v>0</v>
      </c>
      <c r="Q90" s="19">
        <f>3000+225.9</f>
        <v>3225.9</v>
      </c>
      <c r="R90" s="19">
        <f t="shared" si="26"/>
        <v>3225.9</v>
      </c>
      <c r="S90" s="19">
        <v>3225.9</v>
      </c>
      <c r="T90" s="19"/>
      <c r="U90" s="19">
        <f t="shared" si="24"/>
        <v>3225.9</v>
      </c>
      <c r="V90" s="9"/>
      <c r="W90" s="4"/>
    </row>
    <row r="91" spans="1:24" ht="66" hidden="1" customHeight="1" outlineLevel="1" x14ac:dyDescent="0.25">
      <c r="A91" s="45"/>
      <c r="B91" s="38"/>
      <c r="C91" s="46"/>
      <c r="D91" s="14"/>
      <c r="E91" s="140" t="s">
        <v>222</v>
      </c>
      <c r="F91" s="141"/>
      <c r="G91" s="141"/>
      <c r="H91" s="142"/>
      <c r="I91" s="15" t="s">
        <v>110</v>
      </c>
      <c r="J91" s="6" t="s">
        <v>108</v>
      </c>
      <c r="K91" s="6" t="s">
        <v>27</v>
      </c>
      <c r="L91" s="6" t="s">
        <v>109</v>
      </c>
      <c r="M91" s="19">
        <v>756415.2</v>
      </c>
      <c r="N91" s="19">
        <v>3260.6</v>
      </c>
      <c r="O91" s="19">
        <f t="shared" si="25"/>
        <v>759675.79999999993</v>
      </c>
      <c r="P91" s="19">
        <v>759675.79999999993</v>
      </c>
      <c r="Q91" s="19">
        <v>43318.2</v>
      </c>
      <c r="R91" s="19">
        <f t="shared" si="26"/>
        <v>802993.99999999988</v>
      </c>
      <c r="S91" s="19">
        <v>802993.99999999988</v>
      </c>
      <c r="T91" s="19">
        <f>39630+146370+14000</f>
        <v>200000</v>
      </c>
      <c r="U91" s="19">
        <f t="shared" si="24"/>
        <v>1002993.9999999999</v>
      </c>
      <c r="V91" s="23" t="s">
        <v>402</v>
      </c>
      <c r="W91" s="4"/>
    </row>
    <row r="92" spans="1:24" ht="36.75" customHeight="1" collapsed="1" x14ac:dyDescent="0.25">
      <c r="A92" s="45"/>
      <c r="B92" s="38"/>
      <c r="C92" s="46"/>
      <c r="D92" s="145" t="s">
        <v>329</v>
      </c>
      <c r="E92" s="138"/>
      <c r="F92" s="138"/>
      <c r="G92" s="138"/>
      <c r="H92" s="138"/>
      <c r="I92" s="72" t="s">
        <v>107</v>
      </c>
      <c r="J92" s="73" t="s">
        <v>108</v>
      </c>
      <c r="K92" s="73" t="s">
        <v>40</v>
      </c>
      <c r="L92" s="73" t="s">
        <v>4</v>
      </c>
      <c r="M92" s="74">
        <f>SUM(M93)</f>
        <v>0</v>
      </c>
      <c r="N92" s="74">
        <f>SUM(N93)</f>
        <v>0</v>
      </c>
      <c r="O92" s="74">
        <f t="shared" si="25"/>
        <v>0</v>
      </c>
      <c r="P92" s="74">
        <v>0</v>
      </c>
      <c r="Q92" s="74">
        <f>SUM(Q93)</f>
        <v>0</v>
      </c>
      <c r="R92" s="74">
        <f t="shared" si="26"/>
        <v>0</v>
      </c>
      <c r="S92" s="74">
        <v>0</v>
      </c>
      <c r="T92" s="74">
        <f>SUM(T93)</f>
        <v>0</v>
      </c>
      <c r="U92" s="74">
        <f t="shared" si="24"/>
        <v>0</v>
      </c>
      <c r="V92" s="75"/>
      <c r="W92" s="4"/>
    </row>
    <row r="93" spans="1:24" ht="36.75" hidden="1" customHeight="1" outlineLevel="1" x14ac:dyDescent="0.25">
      <c r="A93" s="45"/>
      <c r="B93" s="38"/>
      <c r="C93" s="46"/>
      <c r="D93" s="14"/>
      <c r="E93" s="147" t="s">
        <v>223</v>
      </c>
      <c r="F93" s="139"/>
      <c r="G93" s="139"/>
      <c r="H93" s="139"/>
      <c r="I93" s="15" t="s">
        <v>107</v>
      </c>
      <c r="J93" s="6" t="s">
        <v>108</v>
      </c>
      <c r="K93" s="6" t="s">
        <v>40</v>
      </c>
      <c r="L93" s="6" t="s">
        <v>13</v>
      </c>
      <c r="M93" s="19"/>
      <c r="N93" s="19"/>
      <c r="O93" s="19">
        <f t="shared" si="25"/>
        <v>0</v>
      </c>
      <c r="P93" s="19">
        <v>0</v>
      </c>
      <c r="Q93" s="19"/>
      <c r="R93" s="19">
        <f t="shared" si="26"/>
        <v>0</v>
      </c>
      <c r="S93" s="19">
        <v>0</v>
      </c>
      <c r="T93" s="19"/>
      <c r="U93" s="19">
        <f t="shared" si="24"/>
        <v>0</v>
      </c>
      <c r="V93" s="23"/>
      <c r="W93" s="4"/>
    </row>
    <row r="94" spans="1:24" ht="86.25" customHeight="1" collapsed="1" x14ac:dyDescent="0.25">
      <c r="A94" s="45"/>
      <c r="B94" s="4"/>
      <c r="C94" s="47"/>
      <c r="D94" s="151" t="s">
        <v>304</v>
      </c>
      <c r="E94" s="154"/>
      <c r="F94" s="154"/>
      <c r="G94" s="154"/>
      <c r="H94" s="155"/>
      <c r="I94" s="60" t="s">
        <v>106</v>
      </c>
      <c r="J94" s="61" t="s">
        <v>103</v>
      </c>
      <c r="K94" s="61" t="s">
        <v>4</v>
      </c>
      <c r="L94" s="61" t="s">
        <v>4</v>
      </c>
      <c r="M94" s="63">
        <f>M95+M96+M98+M97</f>
        <v>32466.3</v>
      </c>
      <c r="N94" s="63">
        <f>N95+N96+N98+N97</f>
        <v>1300</v>
      </c>
      <c r="O94" s="62">
        <f>SUM(M94:N94)</f>
        <v>33766.300000000003</v>
      </c>
      <c r="P94" s="63">
        <v>33766.300000000003</v>
      </c>
      <c r="Q94" s="63">
        <f>Q95+Q96+Q98+Q97</f>
        <v>1025.8</v>
      </c>
      <c r="R94" s="62">
        <f>SUM(P94:Q94)</f>
        <v>34792.100000000006</v>
      </c>
      <c r="S94" s="62">
        <v>34069.100000000006</v>
      </c>
      <c r="T94" s="62">
        <f>SUM(T95+T96+T97+T98)</f>
        <v>2166.6</v>
      </c>
      <c r="U94" s="62">
        <f>SUM(S94:T94)</f>
        <v>36235.700000000004</v>
      </c>
      <c r="V94" s="64" t="s">
        <v>434</v>
      </c>
      <c r="W94" s="4"/>
    </row>
    <row r="95" spans="1:24" ht="55.5" hidden="1" customHeight="1" outlineLevel="1" x14ac:dyDescent="0.25">
      <c r="A95" s="45"/>
      <c r="B95" s="38"/>
      <c r="C95" s="46"/>
      <c r="D95" s="14"/>
      <c r="E95" s="147" t="s">
        <v>224</v>
      </c>
      <c r="F95" s="139"/>
      <c r="G95" s="139"/>
      <c r="H95" s="139"/>
      <c r="I95" s="15" t="s">
        <v>105</v>
      </c>
      <c r="J95" s="6" t="s">
        <v>103</v>
      </c>
      <c r="K95" s="6" t="s">
        <v>2</v>
      </c>
      <c r="L95" s="6" t="s">
        <v>13</v>
      </c>
      <c r="M95" s="19">
        <v>1000</v>
      </c>
      <c r="N95" s="19">
        <f>1000</f>
        <v>1000</v>
      </c>
      <c r="O95" s="19">
        <f t="shared" si="25"/>
        <v>2000</v>
      </c>
      <c r="P95" s="19">
        <v>2000</v>
      </c>
      <c r="Q95" s="19"/>
      <c r="R95" s="19">
        <f>SUM(P95:Q95)</f>
        <v>2000</v>
      </c>
      <c r="S95" s="102">
        <v>1302.0999999999999</v>
      </c>
      <c r="T95" s="102">
        <f>-3</f>
        <v>-3</v>
      </c>
      <c r="U95" s="106">
        <f t="shared" ref="U95:U99" si="27">SUM(S95:T95)</f>
        <v>1299.0999999999999</v>
      </c>
      <c r="V95" s="85" t="s">
        <v>409</v>
      </c>
      <c r="W95" s="4"/>
    </row>
    <row r="96" spans="1:24" ht="94.5" hidden="1" customHeight="1" outlineLevel="1" x14ac:dyDescent="0.25">
      <c r="A96" s="45"/>
      <c r="B96" s="38"/>
      <c r="C96" s="46"/>
      <c r="D96" s="14"/>
      <c r="E96" s="147" t="s">
        <v>225</v>
      </c>
      <c r="F96" s="139"/>
      <c r="G96" s="139"/>
      <c r="H96" s="139"/>
      <c r="I96" s="15" t="s">
        <v>104</v>
      </c>
      <c r="J96" s="6" t="s">
        <v>103</v>
      </c>
      <c r="K96" s="6" t="s">
        <v>2</v>
      </c>
      <c r="L96" s="6" t="s">
        <v>11</v>
      </c>
      <c r="M96" s="19">
        <v>30466.3</v>
      </c>
      <c r="N96" s="19"/>
      <c r="O96" s="19">
        <f t="shared" si="25"/>
        <v>30466.3</v>
      </c>
      <c r="P96" s="19">
        <v>30466.3</v>
      </c>
      <c r="Q96" s="19">
        <f>1025.8</f>
        <v>1025.8</v>
      </c>
      <c r="R96" s="19">
        <f>SUM(P96:Q96)</f>
        <v>31492.1</v>
      </c>
      <c r="S96" s="19">
        <v>31468</v>
      </c>
      <c r="T96" s="19">
        <f>1091+3+1075.6</f>
        <v>2169.6</v>
      </c>
      <c r="U96" s="106">
        <f t="shared" si="27"/>
        <v>33637.599999999999</v>
      </c>
      <c r="V96" s="9" t="s">
        <v>410</v>
      </c>
      <c r="W96" s="4"/>
      <c r="X96" s="44"/>
    </row>
    <row r="97" spans="1:23" ht="48" hidden="1" customHeight="1" outlineLevel="1" x14ac:dyDescent="0.25">
      <c r="A97" s="45"/>
      <c r="B97" s="38"/>
      <c r="C97" s="46"/>
      <c r="D97" s="14"/>
      <c r="E97" s="139" t="s">
        <v>305</v>
      </c>
      <c r="F97" s="139"/>
      <c r="G97" s="139"/>
      <c r="H97" s="139"/>
      <c r="I97" s="15" t="s">
        <v>102</v>
      </c>
      <c r="J97" s="6" t="s">
        <v>103</v>
      </c>
      <c r="K97" s="6" t="s">
        <v>2</v>
      </c>
      <c r="L97" s="6" t="s">
        <v>26</v>
      </c>
      <c r="M97" s="19">
        <v>1000</v>
      </c>
      <c r="N97" s="19">
        <f>300</f>
        <v>300</v>
      </c>
      <c r="O97" s="19">
        <f t="shared" si="25"/>
        <v>1300</v>
      </c>
      <c r="P97" s="19">
        <v>1300</v>
      </c>
      <c r="Q97" s="19"/>
      <c r="R97" s="19">
        <f>SUM(P97:Q97)</f>
        <v>1300</v>
      </c>
      <c r="S97" s="102">
        <v>1299</v>
      </c>
      <c r="T97" s="102"/>
      <c r="U97" s="110">
        <f t="shared" si="27"/>
        <v>1299</v>
      </c>
      <c r="V97" s="112"/>
      <c r="W97" s="4"/>
    </row>
    <row r="98" spans="1:23" ht="27.75" hidden="1" customHeight="1" outlineLevel="1" x14ac:dyDescent="0.25">
      <c r="A98" s="45"/>
      <c r="B98" s="38"/>
      <c r="C98" s="46"/>
      <c r="D98" s="14"/>
      <c r="E98" s="139" t="s">
        <v>293</v>
      </c>
      <c r="F98" s="139"/>
      <c r="G98" s="139"/>
      <c r="H98" s="139"/>
      <c r="I98" s="15" t="s">
        <v>102</v>
      </c>
      <c r="J98" s="6" t="s">
        <v>103</v>
      </c>
      <c r="K98" s="6" t="s">
        <v>2</v>
      </c>
      <c r="L98" s="6" t="s">
        <v>294</v>
      </c>
      <c r="M98" s="19">
        <v>0</v>
      </c>
      <c r="N98" s="19"/>
      <c r="O98" s="19">
        <f t="shared" si="25"/>
        <v>0</v>
      </c>
      <c r="P98" s="19">
        <v>0</v>
      </c>
      <c r="Q98" s="19"/>
      <c r="R98" s="19">
        <f>SUM(P98:Q98)</f>
        <v>0</v>
      </c>
      <c r="S98" s="19">
        <v>0</v>
      </c>
      <c r="T98" s="19"/>
      <c r="U98" s="111">
        <f t="shared" si="27"/>
        <v>0</v>
      </c>
      <c r="V98" s="85"/>
      <c r="W98" s="4"/>
    </row>
    <row r="99" spans="1:23" ht="30.75" customHeight="1" collapsed="1" x14ac:dyDescent="0.25">
      <c r="A99" s="45"/>
      <c r="B99" s="4"/>
      <c r="C99" s="47"/>
      <c r="D99" s="151" t="s">
        <v>314</v>
      </c>
      <c r="E99" s="154"/>
      <c r="F99" s="154"/>
      <c r="G99" s="154"/>
      <c r="H99" s="155"/>
      <c r="I99" s="60" t="s">
        <v>101</v>
      </c>
      <c r="J99" s="61" t="s">
        <v>95</v>
      </c>
      <c r="K99" s="61" t="s">
        <v>4</v>
      </c>
      <c r="L99" s="61" t="s">
        <v>4</v>
      </c>
      <c r="M99" s="63">
        <f>M100+M104+M106</f>
        <v>171719</v>
      </c>
      <c r="N99" s="63">
        <f>N100+N104+N106</f>
        <v>0</v>
      </c>
      <c r="O99" s="62">
        <f t="shared" ref="O99:O105" si="28">SUM(M99:N99)</f>
        <v>171719</v>
      </c>
      <c r="P99" s="63">
        <v>171719</v>
      </c>
      <c r="Q99" s="63">
        <f>Q100+Q104+Q106</f>
        <v>-141.19999999999999</v>
      </c>
      <c r="R99" s="62">
        <f t="shared" ref="R99:R105" si="29">SUM(P99:Q99)</f>
        <v>171577.8</v>
      </c>
      <c r="S99" s="62">
        <v>206777.3</v>
      </c>
      <c r="T99" s="62">
        <f>SUM(T100+T104+T106)</f>
        <v>0</v>
      </c>
      <c r="U99" s="62">
        <f t="shared" si="27"/>
        <v>206777.3</v>
      </c>
      <c r="V99" s="65"/>
      <c r="W99" s="4"/>
    </row>
    <row r="100" spans="1:23" ht="76.5" customHeight="1" x14ac:dyDescent="0.25">
      <c r="A100" s="45"/>
      <c r="B100" s="38"/>
      <c r="C100" s="46"/>
      <c r="D100" s="148" t="s">
        <v>226</v>
      </c>
      <c r="E100" s="138"/>
      <c r="F100" s="138"/>
      <c r="G100" s="138"/>
      <c r="H100" s="138"/>
      <c r="I100" s="72" t="s">
        <v>100</v>
      </c>
      <c r="J100" s="73" t="s">
        <v>95</v>
      </c>
      <c r="K100" s="73" t="s">
        <v>23</v>
      </c>
      <c r="L100" s="73" t="s">
        <v>4</v>
      </c>
      <c r="M100" s="74">
        <f>M101+M102</f>
        <v>15300</v>
      </c>
      <c r="N100" s="74">
        <f>N101+N102</f>
        <v>0</v>
      </c>
      <c r="O100" s="74">
        <f t="shared" si="28"/>
        <v>15300</v>
      </c>
      <c r="P100" s="74">
        <v>15300</v>
      </c>
      <c r="Q100" s="74">
        <f>Q101+Q102</f>
        <v>0</v>
      </c>
      <c r="R100" s="74">
        <f t="shared" si="29"/>
        <v>15300</v>
      </c>
      <c r="S100" s="74">
        <v>29221.4</v>
      </c>
      <c r="T100" s="74">
        <f>SUM(T101+T102+T103)</f>
        <v>0</v>
      </c>
      <c r="U100" s="74">
        <f>SUM(S100:T100)</f>
        <v>29221.4</v>
      </c>
      <c r="V100" s="75"/>
      <c r="W100" s="4"/>
    </row>
    <row r="101" spans="1:23" ht="58.5" hidden="1" customHeight="1" outlineLevel="1" x14ac:dyDescent="0.25">
      <c r="A101" s="45"/>
      <c r="B101" s="38"/>
      <c r="C101" s="46"/>
      <c r="D101" s="14"/>
      <c r="E101" s="147" t="s">
        <v>227</v>
      </c>
      <c r="F101" s="139"/>
      <c r="G101" s="139"/>
      <c r="H101" s="139"/>
      <c r="I101" s="15" t="s">
        <v>99</v>
      </c>
      <c r="J101" s="6" t="s">
        <v>95</v>
      </c>
      <c r="K101" s="6" t="s">
        <v>23</v>
      </c>
      <c r="L101" s="6" t="s">
        <v>13</v>
      </c>
      <c r="M101" s="19">
        <v>300</v>
      </c>
      <c r="N101" s="19"/>
      <c r="O101" s="19">
        <f t="shared" si="28"/>
        <v>300</v>
      </c>
      <c r="P101" s="19">
        <v>300</v>
      </c>
      <c r="Q101" s="19"/>
      <c r="R101" s="19">
        <f t="shared" si="29"/>
        <v>300</v>
      </c>
      <c r="S101" s="19">
        <v>14451.7</v>
      </c>
      <c r="T101" s="19"/>
      <c r="U101" s="19">
        <f t="shared" ref="U101:U107" si="30">SUM(S101:T101)</f>
        <v>14451.7</v>
      </c>
      <c r="V101" s="9"/>
      <c r="W101" s="4"/>
    </row>
    <row r="102" spans="1:23" ht="77.25" hidden="1" customHeight="1" outlineLevel="1" x14ac:dyDescent="0.25">
      <c r="A102" s="45"/>
      <c r="B102" s="38"/>
      <c r="C102" s="46"/>
      <c r="D102" s="14"/>
      <c r="E102" s="147" t="s">
        <v>228</v>
      </c>
      <c r="F102" s="139"/>
      <c r="G102" s="139"/>
      <c r="H102" s="139"/>
      <c r="I102" s="15" t="s">
        <v>98</v>
      </c>
      <c r="J102" s="6" t="s">
        <v>95</v>
      </c>
      <c r="K102" s="6" t="s">
        <v>23</v>
      </c>
      <c r="L102" s="6" t="s">
        <v>11</v>
      </c>
      <c r="M102" s="19">
        <v>15000</v>
      </c>
      <c r="N102" s="19"/>
      <c r="O102" s="19">
        <f t="shared" si="28"/>
        <v>15000</v>
      </c>
      <c r="P102" s="19">
        <v>15000</v>
      </c>
      <c r="Q102" s="19"/>
      <c r="R102" s="19">
        <f t="shared" si="29"/>
        <v>15000</v>
      </c>
      <c r="S102" s="19">
        <v>13318.6</v>
      </c>
      <c r="T102" s="19"/>
      <c r="U102" s="19">
        <f t="shared" si="30"/>
        <v>13318.6</v>
      </c>
      <c r="V102" s="9"/>
      <c r="W102" s="4"/>
    </row>
    <row r="103" spans="1:23" ht="114.75" hidden="1" customHeight="1" outlineLevel="1" x14ac:dyDescent="0.25">
      <c r="A103" s="45"/>
      <c r="B103" s="38"/>
      <c r="C103" s="46"/>
      <c r="D103" s="14"/>
      <c r="E103" s="139" t="s">
        <v>379</v>
      </c>
      <c r="F103" s="139"/>
      <c r="G103" s="139"/>
      <c r="H103" s="139"/>
      <c r="I103" s="15"/>
      <c r="J103" s="6" t="s">
        <v>95</v>
      </c>
      <c r="K103" s="6" t="s">
        <v>23</v>
      </c>
      <c r="L103" s="6" t="s">
        <v>26</v>
      </c>
      <c r="M103" s="19"/>
      <c r="N103" s="19"/>
      <c r="O103" s="19"/>
      <c r="P103" s="19"/>
      <c r="Q103" s="19"/>
      <c r="R103" s="19"/>
      <c r="S103" s="19">
        <v>1451.1</v>
      </c>
      <c r="T103" s="19"/>
      <c r="U103" s="19">
        <f t="shared" si="30"/>
        <v>1451.1</v>
      </c>
      <c r="V103" s="113"/>
      <c r="W103" s="4"/>
    </row>
    <row r="104" spans="1:23" ht="81" customHeight="1" collapsed="1" x14ac:dyDescent="0.25">
      <c r="A104" s="45"/>
      <c r="B104" s="38"/>
      <c r="C104" s="46"/>
      <c r="D104" s="145" t="s">
        <v>330</v>
      </c>
      <c r="E104" s="138"/>
      <c r="F104" s="138"/>
      <c r="G104" s="138"/>
      <c r="H104" s="138"/>
      <c r="I104" s="72" t="s">
        <v>97</v>
      </c>
      <c r="J104" s="73" t="s">
        <v>95</v>
      </c>
      <c r="K104" s="73" t="s">
        <v>18</v>
      </c>
      <c r="L104" s="73" t="s">
        <v>4</v>
      </c>
      <c r="M104" s="74">
        <f>M105</f>
        <v>155419</v>
      </c>
      <c r="N104" s="74">
        <f>N105</f>
        <v>0</v>
      </c>
      <c r="O104" s="74">
        <f t="shared" si="28"/>
        <v>155419</v>
      </c>
      <c r="P104" s="74">
        <v>155419</v>
      </c>
      <c r="Q104" s="74">
        <f>Q105</f>
        <v>0</v>
      </c>
      <c r="R104" s="74">
        <f t="shared" si="29"/>
        <v>155419</v>
      </c>
      <c r="S104" s="74">
        <v>176419</v>
      </c>
      <c r="T104" s="74">
        <f>SUM(T105)</f>
        <v>0</v>
      </c>
      <c r="U104" s="74">
        <f t="shared" si="30"/>
        <v>176419</v>
      </c>
      <c r="V104" s="75"/>
      <c r="W104" s="4"/>
    </row>
    <row r="105" spans="1:23" ht="81" hidden="1" customHeight="1" outlineLevel="1" x14ac:dyDescent="0.25">
      <c r="A105" s="45"/>
      <c r="B105" s="38"/>
      <c r="C105" s="46"/>
      <c r="D105" s="14"/>
      <c r="E105" s="147" t="s">
        <v>229</v>
      </c>
      <c r="F105" s="139"/>
      <c r="G105" s="139"/>
      <c r="H105" s="139"/>
      <c r="I105" s="15" t="s">
        <v>97</v>
      </c>
      <c r="J105" s="6" t="s">
        <v>95</v>
      </c>
      <c r="K105" s="6" t="s">
        <v>18</v>
      </c>
      <c r="L105" s="6" t="s">
        <v>13</v>
      </c>
      <c r="M105" s="19">
        <v>155419</v>
      </c>
      <c r="N105" s="19"/>
      <c r="O105" s="19">
        <f t="shared" si="28"/>
        <v>155419</v>
      </c>
      <c r="P105" s="19">
        <v>155419</v>
      </c>
      <c r="Q105" s="19"/>
      <c r="R105" s="19">
        <f t="shared" si="29"/>
        <v>155419</v>
      </c>
      <c r="S105" s="19">
        <v>176419</v>
      </c>
      <c r="T105" s="19"/>
      <c r="U105" s="19">
        <f t="shared" si="30"/>
        <v>176419</v>
      </c>
      <c r="V105" s="9"/>
      <c r="W105" s="4"/>
    </row>
    <row r="106" spans="1:23" ht="61.5" customHeight="1" collapsed="1" x14ac:dyDescent="0.25">
      <c r="A106" s="45"/>
      <c r="B106" s="38"/>
      <c r="C106" s="46"/>
      <c r="D106" s="145" t="s">
        <v>331</v>
      </c>
      <c r="E106" s="138"/>
      <c r="F106" s="138"/>
      <c r="G106" s="138"/>
      <c r="H106" s="138"/>
      <c r="I106" s="72" t="s">
        <v>96</v>
      </c>
      <c r="J106" s="73" t="s">
        <v>95</v>
      </c>
      <c r="K106" s="73" t="s">
        <v>27</v>
      </c>
      <c r="L106" s="73" t="s">
        <v>4</v>
      </c>
      <c r="M106" s="74">
        <f>M107</f>
        <v>1000</v>
      </c>
      <c r="N106" s="74">
        <f>N107</f>
        <v>0</v>
      </c>
      <c r="O106" s="74">
        <f>O107</f>
        <v>1000</v>
      </c>
      <c r="P106" s="74">
        <v>1000</v>
      </c>
      <c r="Q106" s="74">
        <f>Q107</f>
        <v>-141.19999999999999</v>
      </c>
      <c r="R106" s="74">
        <f>R107</f>
        <v>858.8</v>
      </c>
      <c r="S106" s="74">
        <v>1136.9000000000001</v>
      </c>
      <c r="T106" s="74">
        <f>SUM(T107)</f>
        <v>0</v>
      </c>
      <c r="U106" s="74">
        <f t="shared" si="30"/>
        <v>1136.9000000000001</v>
      </c>
      <c r="V106" s="75"/>
      <c r="W106" s="4"/>
    </row>
    <row r="107" spans="1:23" ht="51" hidden="1" customHeight="1" outlineLevel="1" x14ac:dyDescent="0.25">
      <c r="A107" s="45"/>
      <c r="B107" s="38"/>
      <c r="C107" s="46"/>
      <c r="D107" s="14"/>
      <c r="E107" s="147" t="s">
        <v>230</v>
      </c>
      <c r="F107" s="139"/>
      <c r="G107" s="139"/>
      <c r="H107" s="139"/>
      <c r="I107" s="15" t="s">
        <v>96</v>
      </c>
      <c r="J107" s="6" t="s">
        <v>95</v>
      </c>
      <c r="K107" s="6" t="s">
        <v>27</v>
      </c>
      <c r="L107" s="6" t="s">
        <v>13</v>
      </c>
      <c r="M107" s="19">
        <v>1000</v>
      </c>
      <c r="N107" s="19"/>
      <c r="O107" s="19">
        <f>SUM(M107:N107)</f>
        <v>1000</v>
      </c>
      <c r="P107" s="19">
        <v>1000</v>
      </c>
      <c r="Q107" s="19">
        <v>-141.19999999999999</v>
      </c>
      <c r="R107" s="19">
        <f t="shared" ref="R107:R113" si="31">SUM(P107:Q107)</f>
        <v>858.8</v>
      </c>
      <c r="S107" s="19">
        <v>1136.9000000000001</v>
      </c>
      <c r="T107" s="19"/>
      <c r="U107" s="19">
        <f t="shared" si="30"/>
        <v>1136.9000000000001</v>
      </c>
      <c r="V107" s="9"/>
      <c r="W107" s="4"/>
    </row>
    <row r="108" spans="1:23" ht="42" customHeight="1" collapsed="1" x14ac:dyDescent="0.25">
      <c r="A108" s="45"/>
      <c r="B108" s="4"/>
      <c r="C108" s="47"/>
      <c r="D108" s="151" t="s">
        <v>315</v>
      </c>
      <c r="E108" s="154"/>
      <c r="F108" s="154"/>
      <c r="G108" s="154"/>
      <c r="H108" s="155"/>
      <c r="I108" s="60" t="s">
        <v>94</v>
      </c>
      <c r="J108" s="61" t="s">
        <v>84</v>
      </c>
      <c r="K108" s="61" t="s">
        <v>4</v>
      </c>
      <c r="L108" s="61" t="s">
        <v>4</v>
      </c>
      <c r="M108" s="63">
        <f>M109+M114+M119+M121+M123</f>
        <v>44168.1</v>
      </c>
      <c r="N108" s="63">
        <f>N109+N114+N119+N121+N123</f>
        <v>1500</v>
      </c>
      <c r="O108" s="62">
        <f>SUM(M108:N108)</f>
        <v>45668.1</v>
      </c>
      <c r="P108" s="63">
        <v>45668.1</v>
      </c>
      <c r="Q108" s="63">
        <f>Q109+Q114+Q119+Q121+Q123</f>
        <v>-585</v>
      </c>
      <c r="R108" s="62">
        <f t="shared" si="31"/>
        <v>45083.1</v>
      </c>
      <c r="S108" s="62">
        <v>56724.6</v>
      </c>
      <c r="T108" s="62">
        <f>SUM(T109+T114+T119+T121+T123)</f>
        <v>172198.9</v>
      </c>
      <c r="U108" s="62">
        <f>SUM(S108:T108)</f>
        <v>228923.5</v>
      </c>
      <c r="V108" s="65"/>
      <c r="W108" s="4"/>
    </row>
    <row r="109" spans="1:23" ht="46.5" customHeight="1" x14ac:dyDescent="0.25">
      <c r="A109" s="45"/>
      <c r="B109" s="38"/>
      <c r="C109" s="46"/>
      <c r="D109" s="145" t="s">
        <v>324</v>
      </c>
      <c r="E109" s="138"/>
      <c r="F109" s="138"/>
      <c r="G109" s="138"/>
      <c r="H109" s="138"/>
      <c r="I109" s="72" t="s">
        <v>93</v>
      </c>
      <c r="J109" s="73" t="s">
        <v>84</v>
      </c>
      <c r="K109" s="73" t="s">
        <v>23</v>
      </c>
      <c r="L109" s="73" t="s">
        <v>4</v>
      </c>
      <c r="M109" s="74">
        <f>M110+M111+M112+M113</f>
        <v>36090.1</v>
      </c>
      <c r="N109" s="74">
        <f>N110+N111+N112+N113</f>
        <v>-700</v>
      </c>
      <c r="O109" s="74">
        <f>SUM(M109:N109)</f>
        <v>35390.1</v>
      </c>
      <c r="P109" s="74">
        <v>35390.1</v>
      </c>
      <c r="Q109" s="74">
        <f>Q110+Q111+Q112+Q113</f>
        <v>-580</v>
      </c>
      <c r="R109" s="74">
        <f t="shared" si="31"/>
        <v>34810.1</v>
      </c>
      <c r="S109" s="74">
        <v>39194.5</v>
      </c>
      <c r="T109" s="74">
        <f>SUM(T110+T111+T112+T113)</f>
        <v>3170.6</v>
      </c>
      <c r="U109" s="74">
        <f>SUM(S109:T109)</f>
        <v>42365.1</v>
      </c>
      <c r="V109" s="75" t="s">
        <v>394</v>
      </c>
      <c r="W109" s="4"/>
    </row>
    <row r="110" spans="1:23" ht="51" hidden="1" customHeight="1" outlineLevel="2" x14ac:dyDescent="0.25">
      <c r="A110" s="45"/>
      <c r="B110" s="38"/>
      <c r="C110" s="46"/>
      <c r="D110" s="14"/>
      <c r="E110" s="139" t="s">
        <v>338</v>
      </c>
      <c r="F110" s="139"/>
      <c r="G110" s="139"/>
      <c r="H110" s="139"/>
      <c r="I110" s="15" t="s">
        <v>92</v>
      </c>
      <c r="J110" s="6" t="s">
        <v>84</v>
      </c>
      <c r="K110" s="6" t="s">
        <v>23</v>
      </c>
      <c r="L110" s="6" t="s">
        <v>13</v>
      </c>
      <c r="M110" s="19">
        <v>2460.1</v>
      </c>
      <c r="N110" s="19"/>
      <c r="O110" s="19">
        <f t="shared" ref="O110:O129" si="32">SUM(M110:N110)</f>
        <v>2460.1</v>
      </c>
      <c r="P110" s="19">
        <v>2460.1</v>
      </c>
      <c r="Q110" s="19"/>
      <c r="R110" s="19">
        <f t="shared" si="31"/>
        <v>2460.1</v>
      </c>
      <c r="S110" s="19">
        <v>2460.1</v>
      </c>
      <c r="T110" s="19"/>
      <c r="U110" s="74">
        <f t="shared" ref="U110:U124" si="33">SUM(S110:T110)</f>
        <v>2460.1</v>
      </c>
      <c r="V110" s="9"/>
      <c r="W110" s="4"/>
    </row>
    <row r="111" spans="1:23" ht="40.5" hidden="1" customHeight="1" outlineLevel="2" x14ac:dyDescent="0.25">
      <c r="A111" s="45"/>
      <c r="B111" s="38"/>
      <c r="C111" s="46"/>
      <c r="D111" s="14"/>
      <c r="E111" s="139" t="s">
        <v>346</v>
      </c>
      <c r="F111" s="139"/>
      <c r="G111" s="139"/>
      <c r="H111" s="139"/>
      <c r="I111" s="15" t="s">
        <v>91</v>
      </c>
      <c r="J111" s="6" t="s">
        <v>84</v>
      </c>
      <c r="K111" s="6" t="s">
        <v>23</v>
      </c>
      <c r="L111" s="6" t="s">
        <v>11</v>
      </c>
      <c r="M111" s="19">
        <v>28630</v>
      </c>
      <c r="N111" s="19">
        <v>-308.60000000000002</v>
      </c>
      <c r="O111" s="19">
        <f t="shared" si="32"/>
        <v>28321.4</v>
      </c>
      <c r="P111" s="19">
        <v>28321.4</v>
      </c>
      <c r="Q111" s="19">
        <f>-2.3-37-200</f>
        <v>-239.3</v>
      </c>
      <c r="R111" s="19">
        <f t="shared" si="31"/>
        <v>28082.100000000002</v>
      </c>
      <c r="S111" s="19">
        <v>33965.4</v>
      </c>
      <c r="T111" s="19">
        <v>3170.6</v>
      </c>
      <c r="U111" s="74">
        <f t="shared" si="33"/>
        <v>37136</v>
      </c>
      <c r="V111" s="9" t="s">
        <v>394</v>
      </c>
      <c r="W111" s="4"/>
    </row>
    <row r="112" spans="1:23" ht="36.75" hidden="1" customHeight="1" outlineLevel="2" x14ac:dyDescent="0.25">
      <c r="A112" s="45"/>
      <c r="B112" s="38"/>
      <c r="C112" s="46"/>
      <c r="D112" s="14"/>
      <c r="E112" s="139" t="s">
        <v>342</v>
      </c>
      <c r="F112" s="139"/>
      <c r="G112" s="139"/>
      <c r="H112" s="139"/>
      <c r="I112" s="20" t="s">
        <v>343</v>
      </c>
      <c r="J112" s="11" t="s">
        <v>84</v>
      </c>
      <c r="K112" s="11" t="s">
        <v>23</v>
      </c>
      <c r="L112" s="11" t="s">
        <v>26</v>
      </c>
      <c r="M112" s="19">
        <v>5000</v>
      </c>
      <c r="N112" s="19">
        <v>-391.4</v>
      </c>
      <c r="O112" s="19">
        <f t="shared" si="32"/>
        <v>4608.6000000000004</v>
      </c>
      <c r="P112" s="19">
        <v>4608.6000000000004</v>
      </c>
      <c r="Q112" s="19">
        <f>-227.7-113</f>
        <v>-340.7</v>
      </c>
      <c r="R112" s="19">
        <f t="shared" si="31"/>
        <v>4267.9000000000005</v>
      </c>
      <c r="S112" s="19">
        <v>2769.0000000000005</v>
      </c>
      <c r="T112" s="19"/>
      <c r="U112" s="74">
        <f t="shared" si="33"/>
        <v>2769.0000000000005</v>
      </c>
      <c r="V112" s="9"/>
      <c r="W112" s="4"/>
    </row>
    <row r="113" spans="1:23" ht="21" hidden="1" customHeight="1" outlineLevel="2" x14ac:dyDescent="0.25">
      <c r="A113" s="45"/>
      <c r="B113" s="38"/>
      <c r="C113" s="46"/>
      <c r="D113" s="14"/>
      <c r="E113" s="156" t="s">
        <v>347</v>
      </c>
      <c r="F113" s="149"/>
      <c r="G113" s="149"/>
      <c r="H113" s="150"/>
      <c r="I113" s="20"/>
      <c r="J113" s="11" t="s">
        <v>84</v>
      </c>
      <c r="K113" s="11" t="s">
        <v>23</v>
      </c>
      <c r="L113" s="11" t="s">
        <v>10</v>
      </c>
      <c r="M113" s="19">
        <v>0</v>
      </c>
      <c r="N113" s="19"/>
      <c r="O113" s="19">
        <f t="shared" si="32"/>
        <v>0</v>
      </c>
      <c r="P113" s="19">
        <v>0</v>
      </c>
      <c r="Q113" s="19"/>
      <c r="R113" s="19">
        <f t="shared" si="31"/>
        <v>0</v>
      </c>
      <c r="S113" s="19">
        <v>0</v>
      </c>
      <c r="T113" s="19"/>
      <c r="U113" s="74">
        <f t="shared" si="33"/>
        <v>0</v>
      </c>
      <c r="V113" s="9"/>
      <c r="W113" s="4"/>
    </row>
    <row r="114" spans="1:23" ht="126" customHeight="1" collapsed="1" x14ac:dyDescent="0.25">
      <c r="A114" s="45"/>
      <c r="B114" s="38"/>
      <c r="C114" s="46"/>
      <c r="D114" s="145" t="s">
        <v>325</v>
      </c>
      <c r="E114" s="138"/>
      <c r="F114" s="138"/>
      <c r="G114" s="138"/>
      <c r="H114" s="138"/>
      <c r="I114" s="72" t="s">
        <v>90</v>
      </c>
      <c r="J114" s="73" t="s">
        <v>84</v>
      </c>
      <c r="K114" s="73" t="s">
        <v>18</v>
      </c>
      <c r="L114" s="73" t="s">
        <v>4</v>
      </c>
      <c r="M114" s="74">
        <f>M115+M116+M117+M118</f>
        <v>7428</v>
      </c>
      <c r="N114" s="74">
        <f>N115+N116+N117+N118</f>
        <v>1200</v>
      </c>
      <c r="O114" s="74">
        <f>O115+O116+O117+O118</f>
        <v>8628</v>
      </c>
      <c r="P114" s="74">
        <v>8628</v>
      </c>
      <c r="Q114" s="74">
        <f>Q115+Q116+Q117+Q118</f>
        <v>0</v>
      </c>
      <c r="R114" s="74">
        <f>R115+R116+R117+R118</f>
        <v>8628</v>
      </c>
      <c r="S114" s="74">
        <v>15628</v>
      </c>
      <c r="T114" s="74">
        <f>SUM(T115+T116+T117+T118)</f>
        <v>169104.8</v>
      </c>
      <c r="U114" s="74">
        <f t="shared" si="33"/>
        <v>184732.79999999999</v>
      </c>
      <c r="V114" s="75" t="s">
        <v>450</v>
      </c>
      <c r="W114" s="4"/>
    </row>
    <row r="115" spans="1:23" ht="63" hidden="1" customHeight="1" outlineLevel="1" x14ac:dyDescent="0.25">
      <c r="A115" s="45"/>
      <c r="B115" s="38"/>
      <c r="C115" s="46"/>
      <c r="D115" s="14"/>
      <c r="E115" s="147" t="s">
        <v>231</v>
      </c>
      <c r="F115" s="139"/>
      <c r="G115" s="139"/>
      <c r="H115" s="139"/>
      <c r="I115" s="15" t="s">
        <v>89</v>
      </c>
      <c r="J115" s="6" t="s">
        <v>84</v>
      </c>
      <c r="K115" s="6" t="s">
        <v>18</v>
      </c>
      <c r="L115" s="6" t="s">
        <v>13</v>
      </c>
      <c r="M115" s="19">
        <v>2500.8000000000002</v>
      </c>
      <c r="N115" s="19">
        <f>700+500</f>
        <v>1200</v>
      </c>
      <c r="O115" s="19">
        <f t="shared" si="32"/>
        <v>3700.8</v>
      </c>
      <c r="P115" s="19">
        <v>3700.8</v>
      </c>
      <c r="Q115" s="19"/>
      <c r="R115" s="19">
        <f t="shared" ref="R115:R122" si="34">SUM(P115:Q115)</f>
        <v>3700.8</v>
      </c>
      <c r="S115" s="19">
        <v>10700.8</v>
      </c>
      <c r="T115" s="19">
        <v>100</v>
      </c>
      <c r="U115" s="74">
        <f t="shared" si="33"/>
        <v>10800.8</v>
      </c>
      <c r="V115" s="9" t="s">
        <v>395</v>
      </c>
      <c r="W115" s="4"/>
    </row>
    <row r="116" spans="1:23" ht="37.5" hidden="1" customHeight="1" outlineLevel="1" x14ac:dyDescent="0.25">
      <c r="A116" s="45"/>
      <c r="B116" s="38"/>
      <c r="C116" s="46"/>
      <c r="D116" s="14"/>
      <c r="E116" s="139" t="s">
        <v>232</v>
      </c>
      <c r="F116" s="139"/>
      <c r="G116" s="139"/>
      <c r="H116" s="139"/>
      <c r="I116" s="15" t="s">
        <v>88</v>
      </c>
      <c r="J116" s="6" t="s">
        <v>84</v>
      </c>
      <c r="K116" s="6" t="s">
        <v>18</v>
      </c>
      <c r="L116" s="6" t="s">
        <v>11</v>
      </c>
      <c r="M116" s="19">
        <v>0</v>
      </c>
      <c r="N116" s="19"/>
      <c r="O116" s="19">
        <f t="shared" si="32"/>
        <v>0</v>
      </c>
      <c r="P116" s="19">
        <v>0</v>
      </c>
      <c r="Q116" s="19"/>
      <c r="R116" s="19">
        <f t="shared" si="34"/>
        <v>0</v>
      </c>
      <c r="S116" s="19">
        <v>0</v>
      </c>
      <c r="T116" s="19"/>
      <c r="U116" s="74">
        <f t="shared" si="33"/>
        <v>0</v>
      </c>
      <c r="V116" s="9"/>
      <c r="W116" s="4"/>
    </row>
    <row r="117" spans="1:23" ht="83.25" hidden="1" customHeight="1" outlineLevel="1" x14ac:dyDescent="0.25">
      <c r="A117" s="45"/>
      <c r="B117" s="38"/>
      <c r="C117" s="46"/>
      <c r="D117" s="14"/>
      <c r="E117" s="139" t="s">
        <v>233</v>
      </c>
      <c r="F117" s="139"/>
      <c r="G117" s="139"/>
      <c r="H117" s="139"/>
      <c r="I117" s="15" t="s">
        <v>87</v>
      </c>
      <c r="J117" s="6" t="s">
        <v>84</v>
      </c>
      <c r="K117" s="6" t="s">
        <v>18</v>
      </c>
      <c r="L117" s="6" t="s">
        <v>26</v>
      </c>
      <c r="M117" s="19">
        <v>4927.2</v>
      </c>
      <c r="N117" s="19"/>
      <c r="O117" s="19">
        <f t="shared" si="32"/>
        <v>4927.2</v>
      </c>
      <c r="P117" s="19">
        <v>4927.2</v>
      </c>
      <c r="Q117" s="19"/>
      <c r="R117" s="19">
        <f t="shared" si="34"/>
        <v>4927.2</v>
      </c>
      <c r="S117" s="19">
        <v>4927.2</v>
      </c>
      <c r="T117" s="19">
        <v>-995.2</v>
      </c>
      <c r="U117" s="74">
        <f t="shared" si="33"/>
        <v>3932</v>
      </c>
      <c r="V117" s="9" t="s">
        <v>396</v>
      </c>
      <c r="W117" s="4"/>
    </row>
    <row r="118" spans="1:23" ht="79.5" hidden="1" customHeight="1" outlineLevel="1" x14ac:dyDescent="0.25">
      <c r="A118" s="38"/>
      <c r="B118" s="38"/>
      <c r="C118" s="38"/>
      <c r="D118" s="38"/>
      <c r="E118" s="147" t="s">
        <v>307</v>
      </c>
      <c r="F118" s="139"/>
      <c r="G118" s="139"/>
      <c r="H118" s="139"/>
      <c r="I118" s="15"/>
      <c r="J118" s="6" t="s">
        <v>84</v>
      </c>
      <c r="K118" s="6" t="s">
        <v>18</v>
      </c>
      <c r="L118" s="11" t="s">
        <v>10</v>
      </c>
      <c r="M118" s="19"/>
      <c r="N118" s="19"/>
      <c r="O118" s="19">
        <f t="shared" si="32"/>
        <v>0</v>
      </c>
      <c r="P118" s="19">
        <v>0</v>
      </c>
      <c r="Q118" s="19"/>
      <c r="R118" s="19">
        <f t="shared" si="34"/>
        <v>0</v>
      </c>
      <c r="S118" s="19">
        <v>0</v>
      </c>
      <c r="T118" s="19">
        <v>170000</v>
      </c>
      <c r="U118" s="74">
        <f t="shared" si="33"/>
        <v>170000</v>
      </c>
      <c r="V118" s="9" t="s">
        <v>454</v>
      </c>
      <c r="W118" s="4"/>
    </row>
    <row r="119" spans="1:23" ht="42" customHeight="1" collapsed="1" x14ac:dyDescent="0.25">
      <c r="A119" s="45"/>
      <c r="B119" s="38"/>
      <c r="C119" s="46"/>
      <c r="D119" s="145" t="s">
        <v>332</v>
      </c>
      <c r="E119" s="138"/>
      <c r="F119" s="138"/>
      <c r="G119" s="138"/>
      <c r="H119" s="138"/>
      <c r="I119" s="72" t="s">
        <v>86</v>
      </c>
      <c r="J119" s="73" t="s">
        <v>84</v>
      </c>
      <c r="K119" s="73" t="s">
        <v>27</v>
      </c>
      <c r="L119" s="73" t="s">
        <v>4</v>
      </c>
      <c r="M119" s="74">
        <f>M120</f>
        <v>150</v>
      </c>
      <c r="N119" s="74">
        <f>N120</f>
        <v>0</v>
      </c>
      <c r="O119" s="74">
        <f>SUM(M119:N119)</f>
        <v>150</v>
      </c>
      <c r="P119" s="74">
        <v>150</v>
      </c>
      <c r="Q119" s="74">
        <f>Q120</f>
        <v>0</v>
      </c>
      <c r="R119" s="74">
        <f t="shared" si="34"/>
        <v>150</v>
      </c>
      <c r="S119" s="74">
        <v>307.10000000000002</v>
      </c>
      <c r="T119" s="74">
        <f>SUM(T120)</f>
        <v>0</v>
      </c>
      <c r="U119" s="74">
        <f t="shared" si="33"/>
        <v>307.10000000000002</v>
      </c>
      <c r="V119" s="75"/>
      <c r="W119" s="4"/>
    </row>
    <row r="120" spans="1:23" ht="24" hidden="1" customHeight="1" outlineLevel="1" x14ac:dyDescent="0.25">
      <c r="A120" s="45"/>
      <c r="B120" s="38"/>
      <c r="C120" s="46"/>
      <c r="D120" s="14"/>
      <c r="E120" s="147" t="s">
        <v>234</v>
      </c>
      <c r="F120" s="139"/>
      <c r="G120" s="139"/>
      <c r="H120" s="139"/>
      <c r="I120" s="15" t="s">
        <v>86</v>
      </c>
      <c r="J120" s="6" t="s">
        <v>84</v>
      </c>
      <c r="K120" s="6" t="s">
        <v>27</v>
      </c>
      <c r="L120" s="6" t="s">
        <v>13</v>
      </c>
      <c r="M120" s="19">
        <v>150</v>
      </c>
      <c r="N120" s="19"/>
      <c r="O120" s="19">
        <f t="shared" si="32"/>
        <v>150</v>
      </c>
      <c r="P120" s="19">
        <v>150</v>
      </c>
      <c r="Q120" s="19"/>
      <c r="R120" s="19">
        <f t="shared" si="34"/>
        <v>150</v>
      </c>
      <c r="S120" s="19">
        <v>307.10000000000002</v>
      </c>
      <c r="T120" s="19"/>
      <c r="U120" s="74">
        <f t="shared" si="33"/>
        <v>307.10000000000002</v>
      </c>
      <c r="V120" s="9"/>
      <c r="W120" s="4"/>
    </row>
    <row r="121" spans="1:23" ht="40.5" customHeight="1" collapsed="1" x14ac:dyDescent="0.25">
      <c r="A121" s="45"/>
      <c r="B121" s="38"/>
      <c r="C121" s="46"/>
      <c r="D121" s="145" t="s">
        <v>333</v>
      </c>
      <c r="E121" s="138"/>
      <c r="F121" s="138"/>
      <c r="G121" s="138"/>
      <c r="H121" s="138"/>
      <c r="I121" s="72" t="s">
        <v>85</v>
      </c>
      <c r="J121" s="73" t="s">
        <v>84</v>
      </c>
      <c r="K121" s="73" t="s">
        <v>40</v>
      </c>
      <c r="L121" s="73" t="s">
        <v>4</v>
      </c>
      <c r="M121" s="74">
        <f>M122</f>
        <v>500</v>
      </c>
      <c r="N121" s="74">
        <f>N122</f>
        <v>1000</v>
      </c>
      <c r="O121" s="74">
        <f>SUM(M121:N121)</f>
        <v>1500</v>
      </c>
      <c r="P121" s="74">
        <v>1500</v>
      </c>
      <c r="Q121" s="74">
        <f>Q122</f>
        <v>-5</v>
      </c>
      <c r="R121" s="74">
        <f t="shared" si="34"/>
        <v>1495</v>
      </c>
      <c r="S121" s="74">
        <v>1595</v>
      </c>
      <c r="T121" s="74">
        <f>SUM(T122)</f>
        <v>-76.5</v>
      </c>
      <c r="U121" s="74">
        <f t="shared" si="33"/>
        <v>1518.5</v>
      </c>
      <c r="V121" s="75" t="s">
        <v>403</v>
      </c>
      <c r="W121" s="4"/>
    </row>
    <row r="122" spans="1:23" ht="32.25" hidden="1" customHeight="1" outlineLevel="1" x14ac:dyDescent="0.25">
      <c r="A122" s="45"/>
      <c r="B122" s="38"/>
      <c r="C122" s="46"/>
      <c r="D122" s="14"/>
      <c r="E122" s="147" t="s">
        <v>235</v>
      </c>
      <c r="F122" s="139"/>
      <c r="G122" s="139"/>
      <c r="H122" s="139"/>
      <c r="I122" s="15" t="s">
        <v>85</v>
      </c>
      <c r="J122" s="6" t="s">
        <v>84</v>
      </c>
      <c r="K122" s="6" t="s">
        <v>40</v>
      </c>
      <c r="L122" s="6" t="s">
        <v>13</v>
      </c>
      <c r="M122" s="19">
        <v>500</v>
      </c>
      <c r="N122" s="19">
        <v>1000</v>
      </c>
      <c r="O122" s="19">
        <f>SUM(M122:N122)</f>
        <v>1500</v>
      </c>
      <c r="P122" s="19">
        <v>1500</v>
      </c>
      <c r="Q122" s="19">
        <v>-5</v>
      </c>
      <c r="R122" s="19">
        <f t="shared" si="34"/>
        <v>1495</v>
      </c>
      <c r="S122" s="19">
        <v>1595</v>
      </c>
      <c r="T122" s="19">
        <v>-76.5</v>
      </c>
      <c r="U122" s="74">
        <f t="shared" si="33"/>
        <v>1518.5</v>
      </c>
      <c r="V122" s="9" t="s">
        <v>403</v>
      </c>
      <c r="W122" s="4"/>
    </row>
    <row r="123" spans="1:23" ht="26.25" customHeight="1" collapsed="1" x14ac:dyDescent="0.25">
      <c r="A123" s="45"/>
      <c r="B123" s="38"/>
      <c r="C123" s="46"/>
      <c r="D123" s="145" t="s">
        <v>327</v>
      </c>
      <c r="E123" s="138"/>
      <c r="F123" s="138"/>
      <c r="G123" s="138"/>
      <c r="H123" s="138"/>
      <c r="I123" s="72" t="s">
        <v>82</v>
      </c>
      <c r="J123" s="73" t="s">
        <v>84</v>
      </c>
      <c r="K123" s="73" t="s">
        <v>83</v>
      </c>
      <c r="L123" s="73" t="s">
        <v>4</v>
      </c>
      <c r="M123" s="74">
        <f>M124</f>
        <v>0</v>
      </c>
      <c r="N123" s="74">
        <f>N124</f>
        <v>0</v>
      </c>
      <c r="O123" s="74">
        <f>O124</f>
        <v>0</v>
      </c>
      <c r="P123" s="74">
        <v>0</v>
      </c>
      <c r="Q123" s="74">
        <f>Q124</f>
        <v>0</v>
      </c>
      <c r="R123" s="74">
        <f>R124</f>
        <v>0</v>
      </c>
      <c r="S123" s="74">
        <v>0</v>
      </c>
      <c r="T123" s="74">
        <f>SUM(T124)</f>
        <v>0</v>
      </c>
      <c r="U123" s="74">
        <f t="shared" si="33"/>
        <v>0</v>
      </c>
      <c r="V123" s="75"/>
      <c r="W123" s="4"/>
    </row>
    <row r="124" spans="1:23" ht="37.5" hidden="1" customHeight="1" outlineLevel="1" x14ac:dyDescent="0.25">
      <c r="A124" s="45"/>
      <c r="B124" s="38"/>
      <c r="C124" s="46"/>
      <c r="D124" s="14"/>
      <c r="E124" s="139" t="s">
        <v>326</v>
      </c>
      <c r="F124" s="139"/>
      <c r="G124" s="139"/>
      <c r="H124" s="139"/>
      <c r="I124" s="15" t="s">
        <v>82</v>
      </c>
      <c r="J124" s="6" t="s">
        <v>84</v>
      </c>
      <c r="K124" s="6" t="s">
        <v>83</v>
      </c>
      <c r="L124" s="6" t="s">
        <v>13</v>
      </c>
      <c r="M124" s="19">
        <v>0</v>
      </c>
      <c r="N124" s="19"/>
      <c r="O124" s="19">
        <f t="shared" si="32"/>
        <v>0</v>
      </c>
      <c r="P124" s="19">
        <v>0</v>
      </c>
      <c r="Q124" s="19"/>
      <c r="R124" s="19">
        <f t="shared" ref="R124:R135" si="35">SUM(P124:Q124)</f>
        <v>0</v>
      </c>
      <c r="S124" s="19">
        <v>0</v>
      </c>
      <c r="T124" s="19"/>
      <c r="U124" s="74">
        <f t="shared" si="33"/>
        <v>0</v>
      </c>
      <c r="V124" s="9"/>
      <c r="W124" s="4"/>
    </row>
    <row r="125" spans="1:23" ht="54" customHeight="1" collapsed="1" x14ac:dyDescent="0.25">
      <c r="A125" s="45"/>
      <c r="B125" s="4"/>
      <c r="C125" s="47"/>
      <c r="D125" s="151" t="s">
        <v>316</v>
      </c>
      <c r="E125" s="154"/>
      <c r="F125" s="154"/>
      <c r="G125" s="154"/>
      <c r="H125" s="155"/>
      <c r="I125" s="60" t="s">
        <v>81</v>
      </c>
      <c r="J125" s="61" t="s">
        <v>80</v>
      </c>
      <c r="K125" s="61" t="s">
        <v>4</v>
      </c>
      <c r="L125" s="61" t="s">
        <v>4</v>
      </c>
      <c r="M125" s="63">
        <f>M126</f>
        <v>3514.1</v>
      </c>
      <c r="N125" s="63">
        <f>N126</f>
        <v>0</v>
      </c>
      <c r="O125" s="68">
        <f>SUM(M125:N125)</f>
        <v>3514.1</v>
      </c>
      <c r="P125" s="63">
        <v>3514.1</v>
      </c>
      <c r="Q125" s="63">
        <f>Q126</f>
        <v>0</v>
      </c>
      <c r="R125" s="68">
        <f t="shared" si="35"/>
        <v>3514.1</v>
      </c>
      <c r="S125" s="68">
        <v>1800</v>
      </c>
      <c r="T125" s="68">
        <f>SUM(T126)</f>
        <v>0</v>
      </c>
      <c r="U125" s="68">
        <f>SUM(S125:T125)</f>
        <v>1800</v>
      </c>
      <c r="V125" s="64"/>
      <c r="W125" s="4"/>
    </row>
    <row r="126" spans="1:23" ht="56.25" hidden="1" customHeight="1" outlineLevel="1" x14ac:dyDescent="0.25">
      <c r="A126" s="45"/>
      <c r="B126" s="38"/>
      <c r="C126" s="46"/>
      <c r="D126" s="14"/>
      <c r="E126" s="147" t="s">
        <v>288</v>
      </c>
      <c r="F126" s="139"/>
      <c r="G126" s="139"/>
      <c r="H126" s="139"/>
      <c r="I126" s="15" t="s">
        <v>81</v>
      </c>
      <c r="J126" s="6" t="s">
        <v>80</v>
      </c>
      <c r="K126" s="6" t="s">
        <v>2</v>
      </c>
      <c r="L126" s="6" t="s">
        <v>13</v>
      </c>
      <c r="M126" s="19">
        <v>3514.1</v>
      </c>
      <c r="N126" s="19"/>
      <c r="O126" s="19">
        <f t="shared" si="32"/>
        <v>3514.1</v>
      </c>
      <c r="P126" s="19">
        <v>3514.1</v>
      </c>
      <c r="Q126" s="19"/>
      <c r="R126" s="19">
        <f t="shared" si="35"/>
        <v>3514.1</v>
      </c>
      <c r="S126" s="19">
        <v>1800</v>
      </c>
      <c r="T126" s="19"/>
      <c r="U126" s="107">
        <f t="shared" ref="U126:U130" si="36">SUM(S126:T126)</f>
        <v>1800</v>
      </c>
      <c r="V126" s="9"/>
      <c r="W126" s="4"/>
    </row>
    <row r="127" spans="1:23" ht="63" customHeight="1" collapsed="1" x14ac:dyDescent="0.25">
      <c r="A127" s="45"/>
      <c r="B127" s="4"/>
      <c r="C127" s="47"/>
      <c r="D127" s="151" t="s">
        <v>328</v>
      </c>
      <c r="E127" s="154"/>
      <c r="F127" s="154"/>
      <c r="G127" s="154"/>
      <c r="H127" s="155"/>
      <c r="I127" s="60" t="s">
        <v>78</v>
      </c>
      <c r="J127" s="61" t="s">
        <v>79</v>
      </c>
      <c r="K127" s="69" t="s">
        <v>4</v>
      </c>
      <c r="L127" s="69" t="s">
        <v>4</v>
      </c>
      <c r="M127" s="70">
        <f>SUM(M128:M129)</f>
        <v>1446</v>
      </c>
      <c r="N127" s="70">
        <f>SUM(N128:N129)</f>
        <v>1500</v>
      </c>
      <c r="O127" s="68">
        <f>SUM(M127:N127)</f>
        <v>2946</v>
      </c>
      <c r="P127" s="70">
        <v>2946</v>
      </c>
      <c r="Q127" s="70">
        <f>SUM(Q128:Q129)</f>
        <v>1290.4000000000001</v>
      </c>
      <c r="R127" s="68">
        <f t="shared" si="35"/>
        <v>4236.3999999999996</v>
      </c>
      <c r="S127" s="68">
        <v>4813.5999999999995</v>
      </c>
      <c r="T127" s="68">
        <f>SUM(T128+T129)</f>
        <v>-184.4</v>
      </c>
      <c r="U127" s="68">
        <f t="shared" si="36"/>
        <v>4629.2</v>
      </c>
      <c r="V127" s="64" t="s">
        <v>440</v>
      </c>
      <c r="W127" s="4"/>
    </row>
    <row r="128" spans="1:23" ht="45" hidden="1" customHeight="1" outlineLevel="1" x14ac:dyDescent="0.25">
      <c r="A128" s="45"/>
      <c r="B128" s="38"/>
      <c r="C128" s="46"/>
      <c r="D128" s="14"/>
      <c r="E128" s="147" t="s">
        <v>236</v>
      </c>
      <c r="F128" s="139"/>
      <c r="G128" s="139"/>
      <c r="H128" s="139"/>
      <c r="I128" s="15" t="s">
        <v>78</v>
      </c>
      <c r="J128" s="6" t="s">
        <v>79</v>
      </c>
      <c r="K128" s="6" t="s">
        <v>2</v>
      </c>
      <c r="L128" s="6" t="s">
        <v>13</v>
      </c>
      <c r="M128" s="19">
        <v>1346</v>
      </c>
      <c r="N128" s="19"/>
      <c r="O128" s="18">
        <f t="shared" si="32"/>
        <v>1346</v>
      </c>
      <c r="P128" s="19">
        <v>1346</v>
      </c>
      <c r="Q128" s="19"/>
      <c r="R128" s="18">
        <f t="shared" si="35"/>
        <v>1346</v>
      </c>
      <c r="S128" s="19">
        <v>1523.2</v>
      </c>
      <c r="T128" s="19">
        <v>-84.4</v>
      </c>
      <c r="U128" s="107">
        <f t="shared" si="36"/>
        <v>1438.8</v>
      </c>
      <c r="V128" s="84" t="s">
        <v>404</v>
      </c>
      <c r="W128" s="4"/>
    </row>
    <row r="129" spans="1:23" ht="33.75" hidden="1" customHeight="1" outlineLevel="1" x14ac:dyDescent="0.25">
      <c r="A129" s="45"/>
      <c r="B129" s="38"/>
      <c r="C129" s="46"/>
      <c r="D129" s="14"/>
      <c r="E129" s="139" t="s">
        <v>340</v>
      </c>
      <c r="F129" s="139"/>
      <c r="G129" s="139"/>
      <c r="H129" s="139"/>
      <c r="I129" s="15">
        <v>1600200000</v>
      </c>
      <c r="J129" s="6">
        <v>16</v>
      </c>
      <c r="K129" s="6">
        <v>0</v>
      </c>
      <c r="L129" s="11" t="s">
        <v>11</v>
      </c>
      <c r="M129" s="19">
        <v>100</v>
      </c>
      <c r="N129" s="19">
        <v>1500</v>
      </c>
      <c r="O129" s="18">
        <f t="shared" si="32"/>
        <v>1600</v>
      </c>
      <c r="P129" s="19">
        <v>1600</v>
      </c>
      <c r="Q129" s="19">
        <f>1200+90.4</f>
        <v>1290.4000000000001</v>
      </c>
      <c r="R129" s="18">
        <f t="shared" si="35"/>
        <v>2890.4</v>
      </c>
      <c r="S129" s="19">
        <v>3290.4</v>
      </c>
      <c r="T129" s="19">
        <v>-100</v>
      </c>
      <c r="U129" s="107">
        <f t="shared" si="36"/>
        <v>3190.4</v>
      </c>
      <c r="V129" s="84" t="s">
        <v>405</v>
      </c>
      <c r="W129" s="4"/>
    </row>
    <row r="130" spans="1:23" ht="51" customHeight="1" collapsed="1" x14ac:dyDescent="0.25">
      <c r="A130" s="45"/>
      <c r="B130" s="4"/>
      <c r="C130" s="47"/>
      <c r="D130" s="151" t="s">
        <v>334</v>
      </c>
      <c r="E130" s="154"/>
      <c r="F130" s="154"/>
      <c r="G130" s="154"/>
      <c r="H130" s="155"/>
      <c r="I130" s="60" t="s">
        <v>77</v>
      </c>
      <c r="J130" s="61" t="s">
        <v>71</v>
      </c>
      <c r="K130" s="61" t="s">
        <v>4</v>
      </c>
      <c r="L130" s="61" t="s">
        <v>4</v>
      </c>
      <c r="M130" s="63">
        <f>M131+M136</f>
        <v>2328.1999999999998</v>
      </c>
      <c r="N130" s="63">
        <f>N131+N136</f>
        <v>0</v>
      </c>
      <c r="O130" s="68">
        <f>SUM(M130:N130)</f>
        <v>2328.1999999999998</v>
      </c>
      <c r="P130" s="63">
        <v>2328.1999999999998</v>
      </c>
      <c r="Q130" s="63">
        <f>Q131+Q136</f>
        <v>0</v>
      </c>
      <c r="R130" s="68">
        <f t="shared" si="35"/>
        <v>2328.1999999999998</v>
      </c>
      <c r="S130" s="68">
        <v>2328.1999999999998</v>
      </c>
      <c r="T130" s="68">
        <f>SUM(T131+T136)</f>
        <v>0</v>
      </c>
      <c r="U130" s="68">
        <f t="shared" si="36"/>
        <v>2328.1999999999998</v>
      </c>
      <c r="V130" s="65"/>
      <c r="W130" s="4"/>
    </row>
    <row r="131" spans="1:23" ht="32.25" customHeight="1" x14ac:dyDescent="0.25">
      <c r="A131" s="45"/>
      <c r="B131" s="38"/>
      <c r="C131" s="46"/>
      <c r="D131" s="148" t="s">
        <v>237</v>
      </c>
      <c r="E131" s="138"/>
      <c r="F131" s="138"/>
      <c r="G131" s="138"/>
      <c r="H131" s="138"/>
      <c r="I131" s="72" t="s">
        <v>76</v>
      </c>
      <c r="J131" s="73" t="s">
        <v>71</v>
      </c>
      <c r="K131" s="73" t="s">
        <v>23</v>
      </c>
      <c r="L131" s="73"/>
      <c r="M131" s="74">
        <f>M132+M133+M134+M135</f>
        <v>2183.1999999999998</v>
      </c>
      <c r="N131" s="74">
        <f>N132+N133+N134+N135</f>
        <v>0</v>
      </c>
      <c r="O131" s="74">
        <f>SUM(M131:N131)</f>
        <v>2183.1999999999998</v>
      </c>
      <c r="P131" s="74">
        <v>2183.1999999999998</v>
      </c>
      <c r="Q131" s="74">
        <f>Q132+Q133+Q134+Q135</f>
        <v>0</v>
      </c>
      <c r="R131" s="74">
        <f t="shared" si="35"/>
        <v>2183.1999999999998</v>
      </c>
      <c r="S131" s="74">
        <v>2183.1999999999998</v>
      </c>
      <c r="T131" s="74">
        <f>SUM(T132+T133+T134+T135)</f>
        <v>0</v>
      </c>
      <c r="U131" s="74">
        <f>SUM(S131:T131)</f>
        <v>2183.1999999999998</v>
      </c>
      <c r="V131" s="75"/>
      <c r="W131" s="4"/>
    </row>
    <row r="132" spans="1:23" ht="56.25" hidden="1" customHeight="1" outlineLevel="1" x14ac:dyDescent="0.25">
      <c r="A132" s="45"/>
      <c r="B132" s="38"/>
      <c r="C132" s="46"/>
      <c r="D132" s="14"/>
      <c r="E132" s="147" t="s">
        <v>238</v>
      </c>
      <c r="F132" s="139"/>
      <c r="G132" s="139"/>
      <c r="H132" s="139"/>
      <c r="I132" s="15" t="s">
        <v>75</v>
      </c>
      <c r="J132" s="6" t="s">
        <v>71</v>
      </c>
      <c r="K132" s="6" t="s">
        <v>23</v>
      </c>
      <c r="L132" s="6" t="s">
        <v>13</v>
      </c>
      <c r="M132" s="19">
        <v>163.19999999999999</v>
      </c>
      <c r="N132" s="19"/>
      <c r="O132" s="19">
        <f t="shared" ref="O132:O139" si="37">SUM(M132:N132)</f>
        <v>163.19999999999999</v>
      </c>
      <c r="P132" s="19">
        <v>163.19999999999999</v>
      </c>
      <c r="Q132" s="19"/>
      <c r="R132" s="19">
        <f t="shared" si="35"/>
        <v>163.19999999999999</v>
      </c>
      <c r="S132" s="19">
        <v>163.19999999999999</v>
      </c>
      <c r="T132" s="19"/>
      <c r="U132" s="19">
        <f t="shared" ref="U132:U139" si="38">SUM(S132:T132)</f>
        <v>163.19999999999999</v>
      </c>
      <c r="V132" s="89"/>
      <c r="W132" s="4"/>
    </row>
    <row r="133" spans="1:23" ht="49.5" hidden="1" customHeight="1" outlineLevel="1" x14ac:dyDescent="0.25">
      <c r="A133" s="45"/>
      <c r="B133" s="38"/>
      <c r="C133" s="46"/>
      <c r="D133" s="14"/>
      <c r="E133" s="147" t="s">
        <v>239</v>
      </c>
      <c r="F133" s="139"/>
      <c r="G133" s="139"/>
      <c r="H133" s="139"/>
      <c r="I133" s="15" t="s">
        <v>74</v>
      </c>
      <c r="J133" s="6" t="s">
        <v>71</v>
      </c>
      <c r="K133" s="6" t="s">
        <v>23</v>
      </c>
      <c r="L133" s="6" t="s">
        <v>11</v>
      </c>
      <c r="M133" s="19">
        <v>0</v>
      </c>
      <c r="N133" s="19"/>
      <c r="O133" s="19">
        <f t="shared" si="37"/>
        <v>0</v>
      </c>
      <c r="P133" s="19">
        <v>0</v>
      </c>
      <c r="Q133" s="19"/>
      <c r="R133" s="19">
        <f t="shared" si="35"/>
        <v>0</v>
      </c>
      <c r="S133" s="19">
        <v>0</v>
      </c>
      <c r="T133" s="19"/>
      <c r="U133" s="19">
        <f t="shared" si="38"/>
        <v>0</v>
      </c>
      <c r="V133" s="9"/>
      <c r="W133" s="4"/>
    </row>
    <row r="134" spans="1:23" ht="78.75" hidden="1" customHeight="1" outlineLevel="1" x14ac:dyDescent="0.25">
      <c r="A134" s="45"/>
      <c r="B134" s="38"/>
      <c r="C134" s="46"/>
      <c r="D134" s="14"/>
      <c r="E134" s="147" t="s">
        <v>240</v>
      </c>
      <c r="F134" s="139"/>
      <c r="G134" s="139"/>
      <c r="H134" s="139"/>
      <c r="I134" s="15" t="s">
        <v>73</v>
      </c>
      <c r="J134" s="6" t="s">
        <v>71</v>
      </c>
      <c r="K134" s="6" t="s">
        <v>23</v>
      </c>
      <c r="L134" s="6" t="s">
        <v>26</v>
      </c>
      <c r="M134" s="19">
        <v>2000</v>
      </c>
      <c r="N134" s="19"/>
      <c r="O134" s="19">
        <f t="shared" si="37"/>
        <v>2000</v>
      </c>
      <c r="P134" s="19">
        <v>2000</v>
      </c>
      <c r="Q134" s="19"/>
      <c r="R134" s="19">
        <f t="shared" si="35"/>
        <v>2000</v>
      </c>
      <c r="S134" s="19">
        <v>2000</v>
      </c>
      <c r="T134" s="19"/>
      <c r="U134" s="19">
        <f t="shared" si="38"/>
        <v>2000</v>
      </c>
      <c r="V134" s="9"/>
      <c r="W134" s="4"/>
    </row>
    <row r="135" spans="1:23" ht="24.75" hidden="1" customHeight="1" outlineLevel="1" x14ac:dyDescent="0.25">
      <c r="A135" s="45"/>
      <c r="B135" s="38"/>
      <c r="C135" s="46"/>
      <c r="D135" s="14"/>
      <c r="E135" s="147" t="s">
        <v>241</v>
      </c>
      <c r="F135" s="139"/>
      <c r="G135" s="139"/>
      <c r="H135" s="139"/>
      <c r="I135" s="15" t="s">
        <v>72</v>
      </c>
      <c r="J135" s="6" t="s">
        <v>71</v>
      </c>
      <c r="K135" s="6" t="s">
        <v>23</v>
      </c>
      <c r="L135" s="6" t="s">
        <v>10</v>
      </c>
      <c r="M135" s="19">
        <v>20</v>
      </c>
      <c r="N135" s="19"/>
      <c r="O135" s="19">
        <f t="shared" si="37"/>
        <v>20</v>
      </c>
      <c r="P135" s="19">
        <v>20</v>
      </c>
      <c r="Q135" s="19"/>
      <c r="R135" s="19">
        <f t="shared" si="35"/>
        <v>20</v>
      </c>
      <c r="S135" s="19">
        <v>20</v>
      </c>
      <c r="T135" s="19"/>
      <c r="U135" s="19">
        <f t="shared" si="38"/>
        <v>20</v>
      </c>
      <c r="V135" s="9"/>
      <c r="W135" s="4"/>
    </row>
    <row r="136" spans="1:23" ht="42.75" customHeight="1" collapsed="1" x14ac:dyDescent="0.25">
      <c r="A136" s="45"/>
      <c r="B136" s="38"/>
      <c r="C136" s="46"/>
      <c r="D136" s="148" t="s">
        <v>242</v>
      </c>
      <c r="E136" s="138"/>
      <c r="F136" s="138"/>
      <c r="G136" s="138"/>
      <c r="H136" s="138"/>
      <c r="I136" s="72" t="s">
        <v>70</v>
      </c>
      <c r="J136" s="73" t="s">
        <v>71</v>
      </c>
      <c r="K136" s="73" t="s">
        <v>18</v>
      </c>
      <c r="L136" s="73" t="s">
        <v>4</v>
      </c>
      <c r="M136" s="74">
        <f>M137+M138+M139</f>
        <v>145</v>
      </c>
      <c r="N136" s="74">
        <f>N137+N138+N139</f>
        <v>0</v>
      </c>
      <c r="O136" s="74">
        <f>O137+O138+O139</f>
        <v>145</v>
      </c>
      <c r="P136" s="74">
        <v>145</v>
      </c>
      <c r="Q136" s="74">
        <f>Q137+Q138+Q139</f>
        <v>0</v>
      </c>
      <c r="R136" s="74">
        <f>R137+R138+R139</f>
        <v>145</v>
      </c>
      <c r="S136" s="74">
        <v>145</v>
      </c>
      <c r="T136" s="74">
        <f>SUM(T137+T138+T139)</f>
        <v>0</v>
      </c>
      <c r="U136" s="74">
        <f t="shared" si="38"/>
        <v>145</v>
      </c>
      <c r="V136" s="75"/>
      <c r="W136" s="4"/>
    </row>
    <row r="137" spans="1:23" ht="51" hidden="1" customHeight="1" outlineLevel="1" x14ac:dyDescent="0.25">
      <c r="A137" s="45"/>
      <c r="B137" s="38"/>
      <c r="C137" s="46"/>
      <c r="D137" s="14"/>
      <c r="E137" s="147" t="s">
        <v>243</v>
      </c>
      <c r="F137" s="139"/>
      <c r="G137" s="139"/>
      <c r="H137" s="139"/>
      <c r="I137" s="15" t="s">
        <v>70</v>
      </c>
      <c r="J137" s="6" t="s">
        <v>71</v>
      </c>
      <c r="K137" s="6" t="s">
        <v>18</v>
      </c>
      <c r="L137" s="6" t="s">
        <v>13</v>
      </c>
      <c r="M137" s="19">
        <v>80</v>
      </c>
      <c r="N137" s="19"/>
      <c r="O137" s="19">
        <f t="shared" si="37"/>
        <v>80</v>
      </c>
      <c r="P137" s="19">
        <v>80</v>
      </c>
      <c r="Q137" s="19"/>
      <c r="R137" s="19">
        <f t="shared" ref="R137:R152" si="39">SUM(P137:Q137)</f>
        <v>80</v>
      </c>
      <c r="S137" s="19">
        <v>80</v>
      </c>
      <c r="T137" s="19"/>
      <c r="U137" s="19">
        <f t="shared" si="38"/>
        <v>80</v>
      </c>
      <c r="V137" s="9"/>
      <c r="W137" s="4"/>
    </row>
    <row r="138" spans="1:23" ht="32.25" hidden="1" customHeight="1" outlineLevel="1" x14ac:dyDescent="0.25">
      <c r="A138" s="45"/>
      <c r="B138" s="4"/>
      <c r="C138" s="48"/>
      <c r="D138" s="14"/>
      <c r="E138" s="149" t="s">
        <v>350</v>
      </c>
      <c r="F138" s="149"/>
      <c r="G138" s="149"/>
      <c r="H138" s="150"/>
      <c r="I138" s="15"/>
      <c r="J138" s="6">
        <v>17</v>
      </c>
      <c r="K138" s="6">
        <v>2</v>
      </c>
      <c r="L138" s="11" t="s">
        <v>11</v>
      </c>
      <c r="M138" s="19">
        <v>45</v>
      </c>
      <c r="N138" s="19"/>
      <c r="O138" s="19">
        <f t="shared" si="37"/>
        <v>45</v>
      </c>
      <c r="P138" s="19">
        <v>45</v>
      </c>
      <c r="Q138" s="19"/>
      <c r="R138" s="19">
        <f t="shared" si="39"/>
        <v>45</v>
      </c>
      <c r="S138" s="19">
        <v>45</v>
      </c>
      <c r="T138" s="19"/>
      <c r="U138" s="19">
        <f t="shared" si="38"/>
        <v>45</v>
      </c>
      <c r="V138" s="31"/>
      <c r="W138" s="4"/>
    </row>
    <row r="139" spans="1:23" ht="32.25" hidden="1" customHeight="1" outlineLevel="1" x14ac:dyDescent="0.25">
      <c r="A139" s="45"/>
      <c r="B139" s="4"/>
      <c r="C139" s="48"/>
      <c r="D139" s="14"/>
      <c r="E139" s="149" t="s">
        <v>351</v>
      </c>
      <c r="F139" s="149"/>
      <c r="G139" s="149"/>
      <c r="H139" s="150"/>
      <c r="I139" s="15"/>
      <c r="J139" s="6">
        <v>17</v>
      </c>
      <c r="K139" s="6">
        <v>2</v>
      </c>
      <c r="L139" s="11" t="s">
        <v>10</v>
      </c>
      <c r="M139" s="19">
        <v>20</v>
      </c>
      <c r="N139" s="19"/>
      <c r="O139" s="19">
        <f t="shared" si="37"/>
        <v>20</v>
      </c>
      <c r="P139" s="19">
        <v>20</v>
      </c>
      <c r="Q139" s="19"/>
      <c r="R139" s="19">
        <f t="shared" si="39"/>
        <v>20</v>
      </c>
      <c r="S139" s="19">
        <v>20</v>
      </c>
      <c r="T139" s="19"/>
      <c r="U139" s="19">
        <f t="shared" si="38"/>
        <v>20</v>
      </c>
      <c r="V139" s="31"/>
      <c r="W139" s="4"/>
    </row>
    <row r="140" spans="1:23" ht="35.25" customHeight="1" collapsed="1" x14ac:dyDescent="0.25">
      <c r="A140" s="45"/>
      <c r="B140" s="4"/>
      <c r="C140" s="47"/>
      <c r="D140" s="151" t="s">
        <v>300</v>
      </c>
      <c r="E140" s="154"/>
      <c r="F140" s="154"/>
      <c r="G140" s="154"/>
      <c r="H140" s="155"/>
      <c r="I140" s="60" t="s">
        <v>69</v>
      </c>
      <c r="J140" s="61" t="s">
        <v>60</v>
      </c>
      <c r="K140" s="61" t="s">
        <v>4</v>
      </c>
      <c r="L140" s="61" t="s">
        <v>4</v>
      </c>
      <c r="M140" s="63">
        <f>M141+M146+M148</f>
        <v>1400</v>
      </c>
      <c r="N140" s="63">
        <f>N141+N146+N148</f>
        <v>0</v>
      </c>
      <c r="O140" s="68">
        <f>SUM(M140:N140)</f>
        <v>1400</v>
      </c>
      <c r="P140" s="63">
        <v>1400</v>
      </c>
      <c r="Q140" s="63">
        <f>Q141+Q146+Q148</f>
        <v>0</v>
      </c>
      <c r="R140" s="68">
        <f t="shared" si="39"/>
        <v>1400</v>
      </c>
      <c r="S140" s="68">
        <v>1400</v>
      </c>
      <c r="T140" s="68">
        <f>SUM(T141+T146+T148)</f>
        <v>-0.2</v>
      </c>
      <c r="U140" s="68">
        <f>SUM(S140:T140)</f>
        <v>1399.8</v>
      </c>
      <c r="V140" s="65"/>
      <c r="W140" s="4"/>
    </row>
    <row r="141" spans="1:23" ht="84" customHeight="1" x14ac:dyDescent="0.25">
      <c r="A141" s="45"/>
      <c r="B141" s="38"/>
      <c r="C141" s="46"/>
      <c r="D141" s="148" t="s">
        <v>244</v>
      </c>
      <c r="E141" s="138"/>
      <c r="F141" s="138"/>
      <c r="G141" s="138"/>
      <c r="H141" s="138"/>
      <c r="I141" s="72" t="s">
        <v>68</v>
      </c>
      <c r="J141" s="73" t="s">
        <v>60</v>
      </c>
      <c r="K141" s="73" t="s">
        <v>23</v>
      </c>
      <c r="L141" s="73" t="s">
        <v>4</v>
      </c>
      <c r="M141" s="74">
        <f>M142+M143+M144+M145</f>
        <v>260</v>
      </c>
      <c r="N141" s="74">
        <f>N142+N143+N144+N145</f>
        <v>0</v>
      </c>
      <c r="O141" s="74">
        <f>SUM(M141:N141)</f>
        <v>260</v>
      </c>
      <c r="P141" s="74">
        <v>260</v>
      </c>
      <c r="Q141" s="74">
        <f>Q142+Q143+Q144+Q145</f>
        <v>0</v>
      </c>
      <c r="R141" s="74">
        <f t="shared" si="39"/>
        <v>260</v>
      </c>
      <c r="S141" s="74">
        <v>245</v>
      </c>
      <c r="T141" s="74">
        <f>SUM(T142+T143+T144+T145)</f>
        <v>0</v>
      </c>
      <c r="U141" s="74">
        <f>SUM(S141:T141)</f>
        <v>245</v>
      </c>
      <c r="V141" s="75"/>
      <c r="W141" s="4"/>
    </row>
    <row r="142" spans="1:23" ht="46.5" hidden="1" customHeight="1" outlineLevel="1" x14ac:dyDescent="0.25">
      <c r="A142" s="45"/>
      <c r="B142" s="38"/>
      <c r="C142" s="46"/>
      <c r="D142" s="14"/>
      <c r="E142" s="147" t="s">
        <v>245</v>
      </c>
      <c r="F142" s="139"/>
      <c r="G142" s="139"/>
      <c r="H142" s="139"/>
      <c r="I142" s="15" t="s">
        <v>67</v>
      </c>
      <c r="J142" s="6" t="s">
        <v>60</v>
      </c>
      <c r="K142" s="6" t="s">
        <v>23</v>
      </c>
      <c r="L142" s="6" t="s">
        <v>13</v>
      </c>
      <c r="M142" s="19">
        <v>130</v>
      </c>
      <c r="N142" s="19"/>
      <c r="O142" s="19">
        <f t="shared" ref="O142:O150" si="40">SUM(M142:N142)</f>
        <v>130</v>
      </c>
      <c r="P142" s="19">
        <v>130</v>
      </c>
      <c r="Q142" s="19"/>
      <c r="R142" s="19">
        <f t="shared" si="39"/>
        <v>130</v>
      </c>
      <c r="S142" s="19">
        <v>130</v>
      </c>
      <c r="T142" s="19"/>
      <c r="U142" s="19">
        <f t="shared" ref="U142:U150" si="41">SUM(S142:T142)</f>
        <v>130</v>
      </c>
      <c r="V142" s="9"/>
      <c r="W142" s="4"/>
    </row>
    <row r="143" spans="1:23" ht="45" hidden="1" customHeight="1" outlineLevel="1" x14ac:dyDescent="0.25">
      <c r="A143" s="45"/>
      <c r="B143" s="38"/>
      <c r="C143" s="46"/>
      <c r="D143" s="14"/>
      <c r="E143" s="147" t="s">
        <v>246</v>
      </c>
      <c r="F143" s="139"/>
      <c r="G143" s="139"/>
      <c r="H143" s="139"/>
      <c r="I143" s="15" t="s">
        <v>66</v>
      </c>
      <c r="J143" s="6" t="s">
        <v>60</v>
      </c>
      <c r="K143" s="6" t="s">
        <v>23</v>
      </c>
      <c r="L143" s="6" t="s">
        <v>11</v>
      </c>
      <c r="M143" s="19">
        <v>100</v>
      </c>
      <c r="N143" s="19"/>
      <c r="O143" s="19">
        <f t="shared" si="40"/>
        <v>100</v>
      </c>
      <c r="P143" s="19">
        <v>100</v>
      </c>
      <c r="Q143" s="19"/>
      <c r="R143" s="19">
        <f t="shared" si="39"/>
        <v>100</v>
      </c>
      <c r="S143" s="19">
        <v>100</v>
      </c>
      <c r="T143" s="19"/>
      <c r="U143" s="19">
        <f t="shared" si="41"/>
        <v>100</v>
      </c>
      <c r="V143" s="9"/>
      <c r="W143" s="4"/>
    </row>
    <row r="144" spans="1:23" ht="48.75" hidden="1" customHeight="1" outlineLevel="1" x14ac:dyDescent="0.25">
      <c r="A144" s="45"/>
      <c r="B144" s="38"/>
      <c r="C144" s="46"/>
      <c r="D144" s="14"/>
      <c r="E144" s="147" t="s">
        <v>247</v>
      </c>
      <c r="F144" s="139"/>
      <c r="G144" s="139"/>
      <c r="H144" s="139"/>
      <c r="I144" s="15" t="s">
        <v>65</v>
      </c>
      <c r="J144" s="6" t="s">
        <v>60</v>
      </c>
      <c r="K144" s="6" t="s">
        <v>23</v>
      </c>
      <c r="L144" s="6" t="s">
        <v>26</v>
      </c>
      <c r="M144" s="19">
        <v>0</v>
      </c>
      <c r="N144" s="19"/>
      <c r="O144" s="19">
        <f t="shared" si="40"/>
        <v>0</v>
      </c>
      <c r="P144" s="19">
        <v>0</v>
      </c>
      <c r="Q144" s="19"/>
      <c r="R144" s="19">
        <f t="shared" si="39"/>
        <v>0</v>
      </c>
      <c r="S144" s="19">
        <v>0</v>
      </c>
      <c r="T144" s="19"/>
      <c r="U144" s="19">
        <f t="shared" si="41"/>
        <v>0</v>
      </c>
      <c r="V144" s="9"/>
      <c r="W144" s="4"/>
    </row>
    <row r="145" spans="1:34" ht="73.5" hidden="1" customHeight="1" outlineLevel="1" x14ac:dyDescent="0.25">
      <c r="A145" s="45"/>
      <c r="B145" s="38"/>
      <c r="C145" s="46"/>
      <c r="D145" s="14"/>
      <c r="E145" s="147" t="s">
        <v>248</v>
      </c>
      <c r="F145" s="139"/>
      <c r="G145" s="139"/>
      <c r="H145" s="139"/>
      <c r="I145" s="15" t="s">
        <v>64</v>
      </c>
      <c r="J145" s="6" t="s">
        <v>60</v>
      </c>
      <c r="K145" s="6" t="s">
        <v>23</v>
      </c>
      <c r="L145" s="6" t="s">
        <v>7</v>
      </c>
      <c r="M145" s="19">
        <v>30</v>
      </c>
      <c r="N145" s="19"/>
      <c r="O145" s="19">
        <f t="shared" si="40"/>
        <v>30</v>
      </c>
      <c r="P145" s="19">
        <v>30</v>
      </c>
      <c r="Q145" s="19"/>
      <c r="R145" s="19">
        <f t="shared" si="39"/>
        <v>30</v>
      </c>
      <c r="S145" s="19">
        <v>15</v>
      </c>
      <c r="T145" s="19"/>
      <c r="U145" s="19">
        <f t="shared" si="41"/>
        <v>15</v>
      </c>
      <c r="V145" s="9"/>
      <c r="W145" s="4"/>
    </row>
    <row r="146" spans="1:34" ht="39.75" customHeight="1" collapsed="1" x14ac:dyDescent="0.25">
      <c r="A146" s="45"/>
      <c r="B146" s="38"/>
      <c r="C146" s="46"/>
      <c r="D146" s="148" t="s">
        <v>249</v>
      </c>
      <c r="E146" s="138"/>
      <c r="F146" s="138"/>
      <c r="G146" s="138"/>
      <c r="H146" s="138"/>
      <c r="I146" s="72" t="s">
        <v>63</v>
      </c>
      <c r="J146" s="73" t="s">
        <v>60</v>
      </c>
      <c r="K146" s="73" t="s">
        <v>18</v>
      </c>
      <c r="L146" s="73" t="s">
        <v>4</v>
      </c>
      <c r="M146" s="74">
        <f>M147</f>
        <v>20</v>
      </c>
      <c r="N146" s="74">
        <f>N147</f>
        <v>0</v>
      </c>
      <c r="O146" s="74">
        <f>SUM(M146:N146)</f>
        <v>20</v>
      </c>
      <c r="P146" s="74">
        <v>20</v>
      </c>
      <c r="Q146" s="74">
        <f>Q147</f>
        <v>0</v>
      </c>
      <c r="R146" s="74">
        <f t="shared" si="39"/>
        <v>20</v>
      </c>
      <c r="S146" s="74">
        <v>35</v>
      </c>
      <c r="T146" s="74">
        <f>SUM(T147)</f>
        <v>0</v>
      </c>
      <c r="U146" s="74">
        <f t="shared" si="41"/>
        <v>35</v>
      </c>
      <c r="V146" s="75"/>
      <c r="W146" s="4"/>
    </row>
    <row r="147" spans="1:34" ht="56.25" hidden="1" customHeight="1" outlineLevel="1" x14ac:dyDescent="0.25">
      <c r="A147" s="45"/>
      <c r="B147" s="38"/>
      <c r="C147" s="46"/>
      <c r="D147" s="14"/>
      <c r="E147" s="139" t="s">
        <v>250</v>
      </c>
      <c r="F147" s="139"/>
      <c r="G147" s="139"/>
      <c r="H147" s="139"/>
      <c r="I147" s="15" t="s">
        <v>63</v>
      </c>
      <c r="J147" s="6" t="s">
        <v>60</v>
      </c>
      <c r="K147" s="6" t="s">
        <v>18</v>
      </c>
      <c r="L147" s="6" t="s">
        <v>13</v>
      </c>
      <c r="M147" s="19">
        <v>20</v>
      </c>
      <c r="N147" s="19"/>
      <c r="O147" s="19">
        <f t="shared" si="40"/>
        <v>20</v>
      </c>
      <c r="P147" s="19">
        <v>20</v>
      </c>
      <c r="Q147" s="19"/>
      <c r="R147" s="19">
        <f t="shared" si="39"/>
        <v>20</v>
      </c>
      <c r="S147" s="19">
        <v>35</v>
      </c>
      <c r="T147" s="19"/>
      <c r="U147" s="19">
        <f t="shared" si="41"/>
        <v>35</v>
      </c>
      <c r="V147" s="9"/>
      <c r="W147" s="4"/>
    </row>
    <row r="148" spans="1:34" ht="34.5" customHeight="1" collapsed="1" x14ac:dyDescent="0.25">
      <c r="A148" s="45"/>
      <c r="B148" s="38"/>
      <c r="C148" s="46"/>
      <c r="D148" s="148" t="s">
        <v>251</v>
      </c>
      <c r="E148" s="138"/>
      <c r="F148" s="138"/>
      <c r="G148" s="138"/>
      <c r="H148" s="138"/>
      <c r="I148" s="72" t="s">
        <v>62</v>
      </c>
      <c r="J148" s="73" t="s">
        <v>60</v>
      </c>
      <c r="K148" s="73" t="s">
        <v>27</v>
      </c>
      <c r="L148" s="73" t="s">
        <v>4</v>
      </c>
      <c r="M148" s="74">
        <f>M149+M150</f>
        <v>1120</v>
      </c>
      <c r="N148" s="74">
        <f>N149+N150</f>
        <v>0</v>
      </c>
      <c r="O148" s="74">
        <f>SUM(M148:N148)</f>
        <v>1120</v>
      </c>
      <c r="P148" s="74">
        <v>1120</v>
      </c>
      <c r="Q148" s="74">
        <f>Q149+Q150</f>
        <v>0</v>
      </c>
      <c r="R148" s="74">
        <f t="shared" si="39"/>
        <v>1120</v>
      </c>
      <c r="S148" s="74">
        <v>1120</v>
      </c>
      <c r="T148" s="74">
        <f>SUM(T149+T150)</f>
        <v>-0.2</v>
      </c>
      <c r="U148" s="74">
        <f t="shared" si="41"/>
        <v>1119.8</v>
      </c>
      <c r="V148" s="75" t="s">
        <v>436</v>
      </c>
      <c r="W148" s="4"/>
    </row>
    <row r="149" spans="1:34" ht="26.25" hidden="1" customHeight="1" outlineLevel="1" x14ac:dyDescent="0.25">
      <c r="A149" s="45"/>
      <c r="B149" s="38"/>
      <c r="C149" s="46"/>
      <c r="D149" s="14"/>
      <c r="E149" s="147" t="s">
        <v>252</v>
      </c>
      <c r="F149" s="139"/>
      <c r="G149" s="139"/>
      <c r="H149" s="139"/>
      <c r="I149" s="15" t="s">
        <v>61</v>
      </c>
      <c r="J149" s="6" t="s">
        <v>60</v>
      </c>
      <c r="K149" s="6" t="s">
        <v>27</v>
      </c>
      <c r="L149" s="6" t="s">
        <v>13</v>
      </c>
      <c r="M149" s="19">
        <v>20</v>
      </c>
      <c r="N149" s="19"/>
      <c r="O149" s="19">
        <f t="shared" si="40"/>
        <v>20</v>
      </c>
      <c r="P149" s="19">
        <v>20</v>
      </c>
      <c r="Q149" s="19"/>
      <c r="R149" s="19">
        <f t="shared" si="39"/>
        <v>20</v>
      </c>
      <c r="S149" s="19">
        <v>20</v>
      </c>
      <c r="T149" s="19"/>
      <c r="U149" s="19">
        <f t="shared" si="41"/>
        <v>20</v>
      </c>
      <c r="V149" s="9"/>
      <c r="W149" s="4"/>
    </row>
    <row r="150" spans="1:34" ht="76.5" hidden="1" customHeight="1" outlineLevel="1" x14ac:dyDescent="0.25">
      <c r="A150" s="45"/>
      <c r="B150" s="38"/>
      <c r="C150" s="46"/>
      <c r="D150" s="14"/>
      <c r="E150" s="139" t="s">
        <v>345</v>
      </c>
      <c r="F150" s="139"/>
      <c r="G150" s="139"/>
      <c r="H150" s="139"/>
      <c r="I150" s="15" t="s">
        <v>59</v>
      </c>
      <c r="J150" s="6" t="s">
        <v>60</v>
      </c>
      <c r="K150" s="6" t="s">
        <v>27</v>
      </c>
      <c r="L150" s="6" t="s">
        <v>11</v>
      </c>
      <c r="M150" s="19">
        <v>1100</v>
      </c>
      <c r="N150" s="19"/>
      <c r="O150" s="19">
        <f t="shared" si="40"/>
        <v>1100</v>
      </c>
      <c r="P150" s="19">
        <v>1100</v>
      </c>
      <c r="Q150" s="19"/>
      <c r="R150" s="19">
        <f t="shared" si="39"/>
        <v>1100</v>
      </c>
      <c r="S150" s="19">
        <v>1100</v>
      </c>
      <c r="T150" s="19">
        <f>-0.2</f>
        <v>-0.2</v>
      </c>
      <c r="U150" s="19">
        <f t="shared" si="41"/>
        <v>1099.8</v>
      </c>
      <c r="V150" s="9" t="s">
        <v>436</v>
      </c>
      <c r="W150" s="4">
        <v>0</v>
      </c>
      <c r="X150" s="86"/>
      <c r="AB150" s="86"/>
    </row>
    <row r="151" spans="1:34" ht="57" customHeight="1" collapsed="1" x14ac:dyDescent="0.25">
      <c r="A151" s="45"/>
      <c r="B151" s="4"/>
      <c r="C151" s="47"/>
      <c r="D151" s="151" t="s">
        <v>301</v>
      </c>
      <c r="E151" s="154"/>
      <c r="F151" s="154"/>
      <c r="G151" s="154"/>
      <c r="H151" s="155"/>
      <c r="I151" s="60" t="s">
        <v>58</v>
      </c>
      <c r="J151" s="61" t="s">
        <v>41</v>
      </c>
      <c r="K151" s="69" t="s">
        <v>4</v>
      </c>
      <c r="L151" s="69" t="s">
        <v>4</v>
      </c>
      <c r="M151" s="70">
        <f>M152+M162+M169+M173</f>
        <v>2521498.9999999995</v>
      </c>
      <c r="N151" s="70">
        <f>N152+N162+N169+N173</f>
        <v>5338.2</v>
      </c>
      <c r="O151" s="68">
        <f>SUM(M151:N151)</f>
        <v>2526837.1999999997</v>
      </c>
      <c r="P151" s="70">
        <v>2526837.1999999997</v>
      </c>
      <c r="Q151" s="70">
        <f>Q152+Q162+Q169+Q173</f>
        <v>19128</v>
      </c>
      <c r="R151" s="68">
        <f t="shared" si="39"/>
        <v>2545965.1999999997</v>
      </c>
      <c r="S151" s="68">
        <v>2588897.9999999995</v>
      </c>
      <c r="T151" s="68">
        <f>T152+T162+T169+T173</f>
        <v>46748.899999999994</v>
      </c>
      <c r="U151" s="68">
        <f>S151+T151</f>
        <v>2635646.8999999994</v>
      </c>
      <c r="V151" s="64"/>
      <c r="W151" s="4"/>
    </row>
    <row r="152" spans="1:34" ht="20.25" customHeight="1" x14ac:dyDescent="0.25">
      <c r="A152" s="45"/>
      <c r="B152" s="38"/>
      <c r="C152" s="46"/>
      <c r="D152" s="177" t="s">
        <v>339</v>
      </c>
      <c r="E152" s="178"/>
      <c r="F152" s="178"/>
      <c r="G152" s="178"/>
      <c r="H152" s="179"/>
      <c r="I152" s="205" t="s">
        <v>57</v>
      </c>
      <c r="J152" s="201">
        <v>20</v>
      </c>
      <c r="K152" s="201" t="s">
        <v>23</v>
      </c>
      <c r="L152" s="203" t="s">
        <v>4</v>
      </c>
      <c r="M152" s="143">
        <f>M154+M155+M156+M157+M158+M159+M160</f>
        <v>2413328.4</v>
      </c>
      <c r="N152" s="143">
        <f>N154+N155+N156+N157+N158+N159+N160</f>
        <v>330</v>
      </c>
      <c r="O152" s="143">
        <f>SUM(M152:N152)</f>
        <v>2413658.4</v>
      </c>
      <c r="P152" s="143">
        <v>2413658.4</v>
      </c>
      <c r="Q152" s="143">
        <f>Q154+Q155+Q156+Q157+Q158+Q159+Q160</f>
        <v>16057.199999999999</v>
      </c>
      <c r="R152" s="143">
        <f t="shared" si="39"/>
        <v>2429715.6</v>
      </c>
      <c r="S152" s="103">
        <v>2449319</v>
      </c>
      <c r="T152" s="103">
        <f>T154+T155+T156+T157+T158+T159+T160+T161</f>
        <v>43970.799999999996</v>
      </c>
      <c r="U152" s="103">
        <f>S152+T152</f>
        <v>2493289.7999999998</v>
      </c>
      <c r="V152" s="157" t="s">
        <v>447</v>
      </c>
      <c r="W152" s="4"/>
    </row>
    <row r="153" spans="1:34" ht="225" customHeight="1" x14ac:dyDescent="0.25">
      <c r="A153" s="45"/>
      <c r="B153" s="38"/>
      <c r="C153" s="46"/>
      <c r="D153" s="180"/>
      <c r="E153" s="181"/>
      <c r="F153" s="181"/>
      <c r="G153" s="181"/>
      <c r="H153" s="182"/>
      <c r="I153" s="206"/>
      <c r="J153" s="202"/>
      <c r="K153" s="202"/>
      <c r="L153" s="204"/>
      <c r="M153" s="144"/>
      <c r="N153" s="144"/>
      <c r="O153" s="144"/>
      <c r="P153" s="144"/>
      <c r="Q153" s="144"/>
      <c r="R153" s="144"/>
      <c r="S153" s="104"/>
      <c r="T153" s="104"/>
      <c r="U153" s="104"/>
      <c r="V153" s="158"/>
      <c r="W153" s="4"/>
      <c r="X153" s="49"/>
    </row>
    <row r="154" spans="1:34" ht="67.5" hidden="1" customHeight="1" outlineLevel="1" x14ac:dyDescent="0.25">
      <c r="A154" s="45"/>
      <c r="B154" s="38"/>
      <c r="C154" s="46"/>
      <c r="D154" s="14"/>
      <c r="E154" s="147" t="s">
        <v>253</v>
      </c>
      <c r="F154" s="139"/>
      <c r="G154" s="139"/>
      <c r="H154" s="139"/>
      <c r="I154" s="15" t="s">
        <v>56</v>
      </c>
      <c r="J154" s="6" t="s">
        <v>41</v>
      </c>
      <c r="K154" s="6" t="s">
        <v>23</v>
      </c>
      <c r="L154" s="6" t="s">
        <v>13</v>
      </c>
      <c r="M154" s="19">
        <v>33361.5</v>
      </c>
      <c r="N154" s="19"/>
      <c r="O154" s="19">
        <f t="shared" ref="O154:O176" si="42">SUM(M154:N154)</f>
        <v>33361.5</v>
      </c>
      <c r="P154" s="19">
        <v>33361.5</v>
      </c>
      <c r="Q154" s="19"/>
      <c r="R154" s="19">
        <f t="shared" ref="R154:R161" si="43">SUM(P154:Q154)</f>
        <v>33361.5</v>
      </c>
      <c r="S154" s="19">
        <v>33761.199999999997</v>
      </c>
      <c r="T154" s="19">
        <f>2206.3-49.9</f>
        <v>2156.4</v>
      </c>
      <c r="U154" s="19">
        <f>SUM(S154:T154)</f>
        <v>35917.599999999999</v>
      </c>
      <c r="V154" s="84" t="s">
        <v>441</v>
      </c>
      <c r="W154" s="4"/>
    </row>
    <row r="155" spans="1:34" ht="175.5" hidden="1" customHeight="1" outlineLevel="1" x14ac:dyDescent="0.25">
      <c r="A155" s="45"/>
      <c r="B155" s="38"/>
      <c r="C155" s="46"/>
      <c r="D155" s="14"/>
      <c r="E155" s="147" t="s">
        <v>254</v>
      </c>
      <c r="F155" s="139"/>
      <c r="G155" s="139"/>
      <c r="H155" s="139"/>
      <c r="I155" s="15" t="s">
        <v>55</v>
      </c>
      <c r="J155" s="6" t="s">
        <v>41</v>
      </c>
      <c r="K155" s="6" t="s">
        <v>23</v>
      </c>
      <c r="L155" s="6" t="s">
        <v>11</v>
      </c>
      <c r="M155" s="19">
        <v>2169569.1</v>
      </c>
      <c r="N155" s="19">
        <f>330</f>
        <v>330</v>
      </c>
      <c r="O155" s="19">
        <f t="shared" si="42"/>
        <v>2169899.1</v>
      </c>
      <c r="P155" s="19">
        <v>2169899.1</v>
      </c>
      <c r="Q155" s="19">
        <f>15865.8+505.4-1044-117.1+1096.6+6.7-745</f>
        <v>15568.4</v>
      </c>
      <c r="R155" s="19">
        <f t="shared" si="43"/>
        <v>2185467.5</v>
      </c>
      <c r="S155" s="19">
        <v>2216866.5</v>
      </c>
      <c r="T155" s="19">
        <f>300+41010+2124.7-49.9-953.6</f>
        <v>42431.199999999997</v>
      </c>
      <c r="U155" s="19">
        <f>SUM(S155:T155)</f>
        <v>2259297.7000000002</v>
      </c>
      <c r="V155" s="9" t="s">
        <v>443</v>
      </c>
      <c r="W155" s="4"/>
      <c r="AC155" s="86"/>
      <c r="AD155" s="86"/>
      <c r="AH155" s="86"/>
    </row>
    <row r="156" spans="1:34" ht="57" hidden="1" customHeight="1" outlineLevel="1" x14ac:dyDescent="0.25">
      <c r="A156" s="45"/>
      <c r="B156" s="38"/>
      <c r="C156" s="46"/>
      <c r="D156" s="14"/>
      <c r="E156" s="147" t="s">
        <v>255</v>
      </c>
      <c r="F156" s="139"/>
      <c r="G156" s="139"/>
      <c r="H156" s="139"/>
      <c r="I156" s="15" t="s">
        <v>54</v>
      </c>
      <c r="J156" s="6" t="s">
        <v>41</v>
      </c>
      <c r="K156" s="6" t="s">
        <v>23</v>
      </c>
      <c r="L156" s="6" t="s">
        <v>26</v>
      </c>
      <c r="M156" s="19">
        <v>33515</v>
      </c>
      <c r="N156" s="19"/>
      <c r="O156" s="19">
        <f t="shared" si="42"/>
        <v>33515</v>
      </c>
      <c r="P156" s="19">
        <v>33515</v>
      </c>
      <c r="Q156" s="19"/>
      <c r="R156" s="19">
        <f t="shared" si="43"/>
        <v>33515</v>
      </c>
      <c r="S156" s="19">
        <v>33515</v>
      </c>
      <c r="T156" s="19"/>
      <c r="U156" s="19">
        <f t="shared" ref="U156:U161" si="44">SUM(S156:T156)</f>
        <v>33515</v>
      </c>
      <c r="V156" s="91"/>
      <c r="W156" s="4"/>
    </row>
    <row r="157" spans="1:34" ht="73.5" hidden="1" customHeight="1" outlineLevel="1" x14ac:dyDescent="0.25">
      <c r="A157" s="45"/>
      <c r="B157" s="38"/>
      <c r="C157" s="46"/>
      <c r="D157" s="14"/>
      <c r="E157" s="147" t="s">
        <v>256</v>
      </c>
      <c r="F157" s="139"/>
      <c r="G157" s="139"/>
      <c r="H157" s="139"/>
      <c r="I157" s="15" t="s">
        <v>53</v>
      </c>
      <c r="J157" s="6" t="s">
        <v>41</v>
      </c>
      <c r="K157" s="6" t="s">
        <v>23</v>
      </c>
      <c r="L157" s="6" t="s">
        <v>10</v>
      </c>
      <c r="M157" s="19">
        <v>0</v>
      </c>
      <c r="N157" s="19"/>
      <c r="O157" s="19">
        <f t="shared" si="42"/>
        <v>0</v>
      </c>
      <c r="P157" s="19">
        <v>0</v>
      </c>
      <c r="Q157" s="19"/>
      <c r="R157" s="19">
        <f t="shared" si="43"/>
        <v>0</v>
      </c>
      <c r="S157" s="19">
        <v>0</v>
      </c>
      <c r="T157" s="19"/>
      <c r="U157" s="19">
        <f t="shared" si="44"/>
        <v>0</v>
      </c>
      <c r="V157" s="9"/>
      <c r="W157" s="4"/>
    </row>
    <row r="158" spans="1:34" ht="43.5" hidden="1" customHeight="1" outlineLevel="1" x14ac:dyDescent="0.25">
      <c r="A158" s="45"/>
      <c r="B158" s="38"/>
      <c r="C158" s="46"/>
      <c r="D158" s="14"/>
      <c r="E158" s="147" t="s">
        <v>257</v>
      </c>
      <c r="F158" s="139"/>
      <c r="G158" s="139"/>
      <c r="H158" s="139"/>
      <c r="I158" s="15" t="s">
        <v>52</v>
      </c>
      <c r="J158" s="6" t="s">
        <v>41</v>
      </c>
      <c r="K158" s="6" t="s">
        <v>23</v>
      </c>
      <c r="L158" s="6" t="s">
        <v>7</v>
      </c>
      <c r="M158" s="19">
        <v>2500</v>
      </c>
      <c r="N158" s="19"/>
      <c r="O158" s="19">
        <f t="shared" si="42"/>
        <v>2500</v>
      </c>
      <c r="P158" s="19">
        <v>2500</v>
      </c>
      <c r="Q158" s="19"/>
      <c r="R158" s="19">
        <f t="shared" si="43"/>
        <v>2500</v>
      </c>
      <c r="S158" s="19">
        <v>2650</v>
      </c>
      <c r="T158" s="19">
        <v>-114.5</v>
      </c>
      <c r="U158" s="19">
        <f t="shared" si="44"/>
        <v>2535.5</v>
      </c>
      <c r="V158" s="9" t="s">
        <v>444</v>
      </c>
      <c r="W158" s="4"/>
    </row>
    <row r="159" spans="1:34" ht="63.75" hidden="1" customHeight="1" outlineLevel="1" x14ac:dyDescent="0.25">
      <c r="A159" s="45"/>
      <c r="B159" s="38"/>
      <c r="C159" s="46"/>
      <c r="D159" s="14"/>
      <c r="E159" s="147" t="s">
        <v>258</v>
      </c>
      <c r="F159" s="139"/>
      <c r="G159" s="139"/>
      <c r="H159" s="139"/>
      <c r="I159" s="15" t="s">
        <v>51</v>
      </c>
      <c r="J159" s="6" t="s">
        <v>41</v>
      </c>
      <c r="K159" s="6" t="s">
        <v>23</v>
      </c>
      <c r="L159" s="6" t="s">
        <v>5</v>
      </c>
      <c r="M159" s="19">
        <v>13108.4</v>
      </c>
      <c r="N159" s="19"/>
      <c r="O159" s="19">
        <f t="shared" si="42"/>
        <v>13108.4</v>
      </c>
      <c r="P159" s="19">
        <v>13108.4</v>
      </c>
      <c r="Q159" s="19">
        <f>488.8</f>
        <v>488.8</v>
      </c>
      <c r="R159" s="19">
        <f t="shared" si="43"/>
        <v>13597.199999999999</v>
      </c>
      <c r="S159" s="19">
        <v>13623.8</v>
      </c>
      <c r="T159" s="19">
        <f>494+1068.1</f>
        <v>1562.1</v>
      </c>
      <c r="U159" s="19">
        <f t="shared" si="44"/>
        <v>15185.9</v>
      </c>
      <c r="V159" s="9" t="s">
        <v>442</v>
      </c>
      <c r="W159" s="4"/>
    </row>
    <row r="160" spans="1:34" ht="87.75" hidden="1" customHeight="1" outlineLevel="1" x14ac:dyDescent="0.25">
      <c r="A160" s="45"/>
      <c r="B160" s="38"/>
      <c r="C160" s="46"/>
      <c r="D160" s="14"/>
      <c r="E160" s="147" t="s">
        <v>259</v>
      </c>
      <c r="F160" s="139"/>
      <c r="G160" s="139"/>
      <c r="H160" s="139"/>
      <c r="I160" s="15" t="s">
        <v>50</v>
      </c>
      <c r="J160" s="6" t="s">
        <v>41</v>
      </c>
      <c r="K160" s="6" t="s">
        <v>23</v>
      </c>
      <c r="L160" s="6" t="s">
        <v>1</v>
      </c>
      <c r="M160" s="19">
        <v>161274.4</v>
      </c>
      <c r="N160" s="19"/>
      <c r="O160" s="19">
        <f t="shared" si="42"/>
        <v>161274.4</v>
      </c>
      <c r="P160" s="19">
        <v>161274.4</v>
      </c>
      <c r="Q160" s="19"/>
      <c r="R160" s="19">
        <f t="shared" si="43"/>
        <v>161274.4</v>
      </c>
      <c r="S160" s="19">
        <v>148902.5</v>
      </c>
      <c r="T160" s="19">
        <v>-2064.4</v>
      </c>
      <c r="U160" s="19">
        <f t="shared" si="44"/>
        <v>146838.1</v>
      </c>
      <c r="V160" s="9" t="s">
        <v>388</v>
      </c>
      <c r="W160" s="4" t="s">
        <v>297</v>
      </c>
    </row>
    <row r="161" spans="1:23" ht="38.25" hidden="1" customHeight="1" outlineLevel="1" x14ac:dyDescent="0.25">
      <c r="A161" s="45"/>
      <c r="B161" s="38"/>
      <c r="C161" s="46"/>
      <c r="D161" s="14"/>
      <c r="E161" s="140" t="s">
        <v>359</v>
      </c>
      <c r="F161" s="141"/>
      <c r="G161" s="141"/>
      <c r="H161" s="142"/>
      <c r="I161" s="15"/>
      <c r="J161" s="6">
        <v>20</v>
      </c>
      <c r="K161" s="6">
        <v>1</v>
      </c>
      <c r="L161" s="6">
        <v>8</v>
      </c>
      <c r="M161" s="19">
        <v>0</v>
      </c>
      <c r="N161" s="19"/>
      <c r="O161" s="19">
        <f t="shared" si="42"/>
        <v>0</v>
      </c>
      <c r="P161" s="19">
        <v>0</v>
      </c>
      <c r="Q161" s="19"/>
      <c r="R161" s="19">
        <f t="shared" si="43"/>
        <v>0</v>
      </c>
      <c r="S161" s="19">
        <v>0</v>
      </c>
      <c r="T161" s="19"/>
      <c r="U161" s="19">
        <f t="shared" si="44"/>
        <v>0</v>
      </c>
      <c r="V161" s="9"/>
      <c r="W161" s="4"/>
    </row>
    <row r="162" spans="1:23" ht="73.5" customHeight="1" collapsed="1" x14ac:dyDescent="0.25">
      <c r="A162" s="45"/>
      <c r="B162" s="38"/>
      <c r="C162" s="46"/>
      <c r="D162" s="145" t="s">
        <v>302</v>
      </c>
      <c r="E162" s="138"/>
      <c r="F162" s="138"/>
      <c r="G162" s="138"/>
      <c r="H162" s="138"/>
      <c r="I162" s="72" t="s">
        <v>49</v>
      </c>
      <c r="J162" s="73" t="s">
        <v>41</v>
      </c>
      <c r="K162" s="73" t="s">
        <v>18</v>
      </c>
      <c r="L162" s="73" t="s">
        <v>4</v>
      </c>
      <c r="M162" s="74">
        <f>M163+M164+M165+M166+M167+M168</f>
        <v>11905.3</v>
      </c>
      <c r="N162" s="74">
        <f>N163+N164+N165+N166+N167+N168</f>
        <v>0</v>
      </c>
      <c r="O162" s="74">
        <f>SUM(M162:N162)</f>
        <v>11905.3</v>
      </c>
      <c r="P162" s="74">
        <v>11905.3</v>
      </c>
      <c r="Q162" s="74">
        <f>Q163+Q164+Q165+Q166+Q167+Q168</f>
        <v>2361.1</v>
      </c>
      <c r="R162" s="74">
        <f t="shared" ref="R162:R174" si="45">SUM(P162:Q162)</f>
        <v>14266.4</v>
      </c>
      <c r="S162" s="74">
        <v>14937.699999999999</v>
      </c>
      <c r="T162" s="74">
        <f>T163+T164+T165+T166+T167+T168</f>
        <v>46.199999999999996</v>
      </c>
      <c r="U162" s="74">
        <f>S162+T162</f>
        <v>14983.9</v>
      </c>
      <c r="V162" s="75" t="s">
        <v>399</v>
      </c>
      <c r="W162" s="4"/>
    </row>
    <row r="163" spans="1:23" ht="63" hidden="1" customHeight="1" outlineLevel="1" x14ac:dyDescent="0.25">
      <c r="A163" s="45"/>
      <c r="B163" s="38"/>
      <c r="C163" s="46"/>
      <c r="D163" s="14"/>
      <c r="E163" s="147" t="s">
        <v>260</v>
      </c>
      <c r="F163" s="139"/>
      <c r="G163" s="139"/>
      <c r="H163" s="139"/>
      <c r="I163" s="15">
        <v>2020199990</v>
      </c>
      <c r="J163" s="6" t="s">
        <v>41</v>
      </c>
      <c r="K163" s="6" t="s">
        <v>18</v>
      </c>
      <c r="L163" s="6" t="s">
        <v>13</v>
      </c>
      <c r="M163" s="19">
        <v>7900</v>
      </c>
      <c r="N163" s="19">
        <f>125.6</f>
        <v>125.6</v>
      </c>
      <c r="O163" s="19">
        <f t="shared" si="42"/>
        <v>8025.6</v>
      </c>
      <c r="P163" s="19">
        <v>8025.6</v>
      </c>
      <c r="Q163" s="19">
        <f>1044+117.1+455+745</f>
        <v>2361.1</v>
      </c>
      <c r="R163" s="19">
        <f t="shared" si="45"/>
        <v>10386.700000000001</v>
      </c>
      <c r="S163" s="19">
        <v>11058</v>
      </c>
      <c r="T163" s="19">
        <f>49.9-3.7</f>
        <v>46.199999999999996</v>
      </c>
      <c r="U163" s="19">
        <f>S163+T163</f>
        <v>11104.2</v>
      </c>
      <c r="V163" s="9" t="s">
        <v>399</v>
      </c>
      <c r="W163" s="4"/>
    </row>
    <row r="164" spans="1:23" ht="46.5" hidden="1" customHeight="1" outlineLevel="1" x14ac:dyDescent="0.25">
      <c r="A164" s="45"/>
      <c r="B164" s="38"/>
      <c r="C164" s="46"/>
      <c r="D164" s="14"/>
      <c r="E164" s="139" t="s">
        <v>362</v>
      </c>
      <c r="F164" s="139"/>
      <c r="G164" s="139"/>
      <c r="H164" s="139"/>
      <c r="I164" s="20" t="s">
        <v>344</v>
      </c>
      <c r="J164" s="11" t="s">
        <v>41</v>
      </c>
      <c r="K164" s="11" t="s">
        <v>18</v>
      </c>
      <c r="L164" s="11" t="s">
        <v>11</v>
      </c>
      <c r="M164" s="19">
        <v>2005.3</v>
      </c>
      <c r="N164" s="19"/>
      <c r="O164" s="19">
        <f t="shared" si="42"/>
        <v>2005.3</v>
      </c>
      <c r="P164" s="19">
        <v>2005.3</v>
      </c>
      <c r="Q164" s="19"/>
      <c r="R164" s="19">
        <f t="shared" si="45"/>
        <v>2005.3</v>
      </c>
      <c r="S164" s="19">
        <v>2005.3</v>
      </c>
      <c r="T164" s="19"/>
      <c r="U164" s="19">
        <f>S164+T164</f>
        <v>2005.3</v>
      </c>
      <c r="V164" s="9"/>
      <c r="W164" s="4"/>
    </row>
    <row r="165" spans="1:23" ht="105.75" hidden="1" customHeight="1" outlineLevel="1" x14ac:dyDescent="0.25">
      <c r="A165" s="45"/>
      <c r="B165" s="38"/>
      <c r="C165" s="46"/>
      <c r="D165" s="14"/>
      <c r="E165" s="147" t="s">
        <v>261</v>
      </c>
      <c r="F165" s="139"/>
      <c r="G165" s="139"/>
      <c r="H165" s="139"/>
      <c r="I165" s="15" t="s">
        <v>48</v>
      </c>
      <c r="J165" s="6" t="s">
        <v>41</v>
      </c>
      <c r="K165" s="6" t="s">
        <v>18</v>
      </c>
      <c r="L165" s="6" t="s">
        <v>26</v>
      </c>
      <c r="M165" s="19">
        <v>1600</v>
      </c>
      <c r="N165" s="19">
        <f>-125.6</f>
        <v>-125.6</v>
      </c>
      <c r="O165" s="19">
        <f t="shared" si="42"/>
        <v>1474.4</v>
      </c>
      <c r="P165" s="19">
        <v>1474.4</v>
      </c>
      <c r="Q165" s="19"/>
      <c r="R165" s="19">
        <f t="shared" si="45"/>
        <v>1474.4</v>
      </c>
      <c r="S165" s="19">
        <v>1474.4</v>
      </c>
      <c r="T165" s="19"/>
      <c r="U165" s="19">
        <f t="shared" ref="U165:U168" si="46">S165+T165</f>
        <v>1474.4</v>
      </c>
      <c r="V165" s="9"/>
      <c r="W165" s="4"/>
    </row>
    <row r="166" spans="1:23" ht="48.75" hidden="1" customHeight="1" outlineLevel="1" x14ac:dyDescent="0.25">
      <c r="A166" s="45"/>
      <c r="B166" s="38"/>
      <c r="C166" s="46"/>
      <c r="D166" s="14"/>
      <c r="E166" s="140" t="s">
        <v>290</v>
      </c>
      <c r="F166" s="141"/>
      <c r="G166" s="141"/>
      <c r="H166" s="142"/>
      <c r="I166" s="15"/>
      <c r="J166" s="6">
        <v>20</v>
      </c>
      <c r="K166" s="6">
        <v>2</v>
      </c>
      <c r="L166" s="11" t="s">
        <v>10</v>
      </c>
      <c r="M166" s="19">
        <v>0</v>
      </c>
      <c r="N166" s="19"/>
      <c r="O166" s="19">
        <f>SUM(M166:N166)</f>
        <v>0</v>
      </c>
      <c r="P166" s="19">
        <v>0</v>
      </c>
      <c r="Q166" s="19"/>
      <c r="R166" s="19">
        <f t="shared" si="45"/>
        <v>0</v>
      </c>
      <c r="S166" s="19">
        <v>0</v>
      </c>
      <c r="T166" s="19"/>
      <c r="U166" s="19">
        <f t="shared" si="46"/>
        <v>0</v>
      </c>
      <c r="V166" s="9"/>
      <c r="W166" s="4"/>
    </row>
    <row r="167" spans="1:23" ht="48.75" hidden="1" customHeight="1" outlineLevel="1" x14ac:dyDescent="0.25">
      <c r="A167" s="45"/>
      <c r="B167" s="38"/>
      <c r="C167" s="46"/>
      <c r="D167" s="14"/>
      <c r="E167" s="140" t="s">
        <v>372</v>
      </c>
      <c r="F167" s="141"/>
      <c r="G167" s="141"/>
      <c r="H167" s="142"/>
      <c r="I167" s="15"/>
      <c r="J167" s="6">
        <v>20</v>
      </c>
      <c r="K167" s="6">
        <v>2</v>
      </c>
      <c r="L167" s="11" t="s">
        <v>7</v>
      </c>
      <c r="M167" s="19">
        <v>400</v>
      </c>
      <c r="N167" s="19"/>
      <c r="O167" s="19">
        <f>SUM(M167:N167)</f>
        <v>400</v>
      </c>
      <c r="P167" s="19">
        <v>400</v>
      </c>
      <c r="Q167" s="19"/>
      <c r="R167" s="19">
        <f t="shared" si="45"/>
        <v>400</v>
      </c>
      <c r="S167" s="19">
        <v>400</v>
      </c>
      <c r="T167" s="19"/>
      <c r="U167" s="19">
        <f t="shared" si="46"/>
        <v>400</v>
      </c>
      <c r="V167" s="9"/>
      <c r="W167" s="4"/>
    </row>
    <row r="168" spans="1:23" ht="46.5" hidden="1" customHeight="1" outlineLevel="1" x14ac:dyDescent="0.25">
      <c r="A168" s="45"/>
      <c r="B168" s="38"/>
      <c r="C168" s="46"/>
      <c r="D168" s="14"/>
      <c r="E168" s="139" t="s">
        <v>377</v>
      </c>
      <c r="F168" s="139"/>
      <c r="G168" s="139"/>
      <c r="H168" s="139"/>
      <c r="I168" s="15" t="s">
        <v>47</v>
      </c>
      <c r="J168" s="6" t="s">
        <v>41</v>
      </c>
      <c r="K168" s="6" t="s">
        <v>18</v>
      </c>
      <c r="L168" s="6" t="s">
        <v>46</v>
      </c>
      <c r="M168" s="19">
        <v>0</v>
      </c>
      <c r="N168" s="19"/>
      <c r="O168" s="19">
        <f t="shared" si="42"/>
        <v>0</v>
      </c>
      <c r="P168" s="19">
        <v>0</v>
      </c>
      <c r="Q168" s="19"/>
      <c r="R168" s="19">
        <f t="shared" si="45"/>
        <v>0</v>
      </c>
      <c r="S168" s="19">
        <v>0</v>
      </c>
      <c r="T168" s="19"/>
      <c r="U168" s="19">
        <f t="shared" si="46"/>
        <v>0</v>
      </c>
      <c r="V168" s="9"/>
      <c r="W168" s="4"/>
    </row>
    <row r="169" spans="1:23" ht="90.75" customHeight="1" collapsed="1" x14ac:dyDescent="0.25">
      <c r="A169" s="45"/>
      <c r="B169" s="38"/>
      <c r="C169" s="46"/>
      <c r="D169" s="145" t="s">
        <v>262</v>
      </c>
      <c r="E169" s="138"/>
      <c r="F169" s="138"/>
      <c r="G169" s="138"/>
      <c r="H169" s="138"/>
      <c r="I169" s="72" t="s">
        <v>45</v>
      </c>
      <c r="J169" s="73" t="s">
        <v>41</v>
      </c>
      <c r="K169" s="73" t="s">
        <v>27</v>
      </c>
      <c r="L169" s="73" t="s">
        <v>4</v>
      </c>
      <c r="M169" s="74">
        <f>M170+M171+M172</f>
        <v>81265.3</v>
      </c>
      <c r="N169" s="74">
        <f>N170+N171+N172</f>
        <v>5008.2</v>
      </c>
      <c r="O169" s="74">
        <f>SUM(M169:N169)</f>
        <v>86273.5</v>
      </c>
      <c r="P169" s="74">
        <v>86273.5</v>
      </c>
      <c r="Q169" s="74">
        <f>Q170+Q171+Q172</f>
        <v>709.7</v>
      </c>
      <c r="R169" s="74">
        <f t="shared" si="45"/>
        <v>86983.2</v>
      </c>
      <c r="S169" s="74">
        <v>105085.9</v>
      </c>
      <c r="T169" s="74">
        <f>T170+T171+T172</f>
        <v>2731.9</v>
      </c>
      <c r="U169" s="74">
        <f>S169+T169</f>
        <v>107817.79999999999</v>
      </c>
      <c r="V169" s="75" t="s">
        <v>427</v>
      </c>
      <c r="W169" s="4"/>
    </row>
    <row r="170" spans="1:23" ht="73.5" hidden="1" customHeight="1" outlineLevel="1" x14ac:dyDescent="0.25">
      <c r="A170" s="45"/>
      <c r="B170" s="38"/>
      <c r="C170" s="46"/>
      <c r="D170" s="14"/>
      <c r="E170" s="139" t="s">
        <v>263</v>
      </c>
      <c r="F170" s="139"/>
      <c r="G170" s="139"/>
      <c r="H170" s="139"/>
      <c r="I170" s="15" t="s">
        <v>44</v>
      </c>
      <c r="J170" s="6" t="s">
        <v>41</v>
      </c>
      <c r="K170" s="6" t="s">
        <v>27</v>
      </c>
      <c r="L170" s="6" t="s">
        <v>13</v>
      </c>
      <c r="M170" s="19">
        <v>33097.300000000003</v>
      </c>
      <c r="N170" s="19">
        <f>5008.2</f>
        <v>5008.2</v>
      </c>
      <c r="O170" s="19">
        <f t="shared" si="42"/>
        <v>38105.5</v>
      </c>
      <c r="P170" s="19">
        <v>38105.5</v>
      </c>
      <c r="Q170" s="19"/>
      <c r="R170" s="19">
        <f t="shared" si="45"/>
        <v>38105.5</v>
      </c>
      <c r="S170" s="19">
        <v>55527.199999999997</v>
      </c>
      <c r="T170" s="19"/>
      <c r="U170" s="19">
        <f>S170+T170</f>
        <v>55527.199999999997</v>
      </c>
      <c r="V170" s="9"/>
      <c r="W170" s="4" t="s">
        <v>297</v>
      </c>
    </row>
    <row r="171" spans="1:23" ht="65.25" hidden="1" customHeight="1" outlineLevel="1" x14ac:dyDescent="0.25">
      <c r="A171" s="45"/>
      <c r="B171" s="38"/>
      <c r="C171" s="46"/>
      <c r="D171" s="14"/>
      <c r="E171" s="139" t="s">
        <v>264</v>
      </c>
      <c r="F171" s="139"/>
      <c r="G171" s="139"/>
      <c r="H171" s="139"/>
      <c r="I171" s="15" t="s">
        <v>43</v>
      </c>
      <c r="J171" s="6" t="s">
        <v>41</v>
      </c>
      <c r="K171" s="6" t="s">
        <v>27</v>
      </c>
      <c r="L171" s="6" t="s">
        <v>11</v>
      </c>
      <c r="M171" s="19">
        <v>45068</v>
      </c>
      <c r="N171" s="19"/>
      <c r="O171" s="19">
        <f t="shared" si="42"/>
        <v>45068</v>
      </c>
      <c r="P171" s="19">
        <v>45068</v>
      </c>
      <c r="Q171" s="19">
        <f>-586.2+200+1095.9</f>
        <v>709.7</v>
      </c>
      <c r="R171" s="19">
        <f t="shared" si="45"/>
        <v>45777.7</v>
      </c>
      <c r="S171" s="19">
        <v>46458.7</v>
      </c>
      <c r="T171" s="19">
        <f>1510.9+1221</f>
        <v>2731.9</v>
      </c>
      <c r="U171" s="19">
        <f t="shared" ref="U171:U172" si="47">S171+T171</f>
        <v>49190.6</v>
      </c>
      <c r="V171" s="9" t="s">
        <v>425</v>
      </c>
      <c r="W171" s="4"/>
    </row>
    <row r="172" spans="1:23" ht="43.5" hidden="1" customHeight="1" outlineLevel="1" x14ac:dyDescent="0.25">
      <c r="A172" s="45"/>
      <c r="B172" s="38"/>
      <c r="C172" s="46"/>
      <c r="D172" s="14"/>
      <c r="E172" s="139" t="s">
        <v>265</v>
      </c>
      <c r="F172" s="139"/>
      <c r="G172" s="139"/>
      <c r="H172" s="139"/>
      <c r="I172" s="15" t="s">
        <v>42</v>
      </c>
      <c r="J172" s="6" t="s">
        <v>41</v>
      </c>
      <c r="K172" s="6" t="s">
        <v>27</v>
      </c>
      <c r="L172" s="6" t="s">
        <v>26</v>
      </c>
      <c r="M172" s="19">
        <v>3100</v>
      </c>
      <c r="N172" s="19"/>
      <c r="O172" s="19">
        <f t="shared" si="42"/>
        <v>3100</v>
      </c>
      <c r="P172" s="19">
        <v>3100</v>
      </c>
      <c r="Q172" s="19"/>
      <c r="R172" s="19">
        <f t="shared" si="45"/>
        <v>3100</v>
      </c>
      <c r="S172" s="19">
        <v>3100</v>
      </c>
      <c r="T172" s="19"/>
      <c r="U172" s="19">
        <f t="shared" si="47"/>
        <v>3100</v>
      </c>
      <c r="V172" s="9"/>
      <c r="W172" s="4"/>
    </row>
    <row r="173" spans="1:23" ht="42" customHeight="1" collapsed="1" x14ac:dyDescent="0.25">
      <c r="A173" s="45"/>
      <c r="B173" s="38"/>
      <c r="C173" s="46"/>
      <c r="D173" s="148" t="s">
        <v>266</v>
      </c>
      <c r="E173" s="138"/>
      <c r="F173" s="138"/>
      <c r="G173" s="138"/>
      <c r="H173" s="138"/>
      <c r="I173" s="72" t="s">
        <v>39</v>
      </c>
      <c r="J173" s="73" t="s">
        <v>41</v>
      </c>
      <c r="K173" s="73" t="s">
        <v>40</v>
      </c>
      <c r="L173" s="73" t="s">
        <v>4</v>
      </c>
      <c r="M173" s="74">
        <f>M174</f>
        <v>15000</v>
      </c>
      <c r="N173" s="74">
        <f>N174</f>
        <v>0</v>
      </c>
      <c r="O173" s="74">
        <f>SUM(M173:N173)</f>
        <v>15000</v>
      </c>
      <c r="P173" s="74">
        <v>15000</v>
      </c>
      <c r="Q173" s="74">
        <f>Q174</f>
        <v>0</v>
      </c>
      <c r="R173" s="74">
        <f t="shared" si="45"/>
        <v>15000</v>
      </c>
      <c r="S173" s="74">
        <v>19555.400000000001</v>
      </c>
      <c r="T173" s="74">
        <f>T174</f>
        <v>0</v>
      </c>
      <c r="U173" s="74">
        <f>S173+T173</f>
        <v>19555.400000000001</v>
      </c>
      <c r="V173" s="75"/>
      <c r="W173" s="4"/>
    </row>
    <row r="174" spans="1:23" ht="98.25" hidden="1" customHeight="1" outlineLevel="1" x14ac:dyDescent="0.25">
      <c r="A174" s="45"/>
      <c r="B174" s="38"/>
      <c r="C174" s="46"/>
      <c r="D174" s="14"/>
      <c r="E174" s="147" t="s">
        <v>267</v>
      </c>
      <c r="F174" s="139"/>
      <c r="G174" s="139"/>
      <c r="H174" s="139"/>
      <c r="I174" s="15" t="s">
        <v>39</v>
      </c>
      <c r="J174" s="6" t="s">
        <v>41</v>
      </c>
      <c r="K174" s="6" t="s">
        <v>40</v>
      </c>
      <c r="L174" s="6" t="s">
        <v>13</v>
      </c>
      <c r="M174" s="19">
        <v>15000</v>
      </c>
      <c r="N174" s="19"/>
      <c r="O174" s="19">
        <f t="shared" si="42"/>
        <v>15000</v>
      </c>
      <c r="P174" s="19">
        <v>15000</v>
      </c>
      <c r="Q174" s="19"/>
      <c r="R174" s="19">
        <f t="shared" si="45"/>
        <v>15000</v>
      </c>
      <c r="S174" s="19">
        <v>19555.400000000001</v>
      </c>
      <c r="T174" s="19"/>
      <c r="U174" s="19">
        <f>S174+T174</f>
        <v>19555.400000000001</v>
      </c>
      <c r="V174" s="9"/>
      <c r="W174" s="4"/>
    </row>
    <row r="175" spans="1:23" ht="45.75" customHeight="1" collapsed="1" x14ac:dyDescent="0.25">
      <c r="A175" s="45"/>
      <c r="B175" s="4"/>
      <c r="C175" s="47"/>
      <c r="D175" s="151" t="s">
        <v>335</v>
      </c>
      <c r="E175" s="154"/>
      <c r="F175" s="154"/>
      <c r="G175" s="154"/>
      <c r="H175" s="155"/>
      <c r="I175" s="60" t="s">
        <v>38</v>
      </c>
      <c r="J175" s="61" t="s">
        <v>37</v>
      </c>
      <c r="K175" s="61" t="s">
        <v>4</v>
      </c>
      <c r="L175" s="61" t="s">
        <v>4</v>
      </c>
      <c r="M175" s="63">
        <f>M176</f>
        <v>3128.1</v>
      </c>
      <c r="N175" s="63">
        <f>N176</f>
        <v>0</v>
      </c>
      <c r="O175" s="63">
        <f>O176</f>
        <v>3128.1</v>
      </c>
      <c r="P175" s="63">
        <v>3128.1</v>
      </c>
      <c r="Q175" s="63">
        <f>Q176</f>
        <v>-100</v>
      </c>
      <c r="R175" s="63">
        <f>R176</f>
        <v>3028.1</v>
      </c>
      <c r="S175" s="63">
        <v>6143.9</v>
      </c>
      <c r="T175" s="63">
        <f>SUM(T176)</f>
        <v>-402</v>
      </c>
      <c r="U175" s="63">
        <f>SUM(S175:T175)</f>
        <v>5741.9</v>
      </c>
      <c r="V175" s="64" t="s">
        <v>406</v>
      </c>
      <c r="W175" s="4"/>
    </row>
    <row r="176" spans="1:23" ht="74.25" hidden="1" customHeight="1" outlineLevel="1" x14ac:dyDescent="0.25">
      <c r="A176" s="45"/>
      <c r="B176" s="38"/>
      <c r="C176" s="46"/>
      <c r="D176" s="14"/>
      <c r="E176" s="147" t="s">
        <v>268</v>
      </c>
      <c r="F176" s="139"/>
      <c r="G176" s="139"/>
      <c r="H176" s="139"/>
      <c r="I176" s="15" t="s">
        <v>38</v>
      </c>
      <c r="J176" s="6" t="s">
        <v>37</v>
      </c>
      <c r="K176" s="6" t="s">
        <v>2</v>
      </c>
      <c r="L176" s="6" t="s">
        <v>13</v>
      </c>
      <c r="M176" s="19">
        <v>3128.1</v>
      </c>
      <c r="N176" s="19"/>
      <c r="O176" s="19">
        <f t="shared" si="42"/>
        <v>3128.1</v>
      </c>
      <c r="P176" s="19">
        <v>3128.1</v>
      </c>
      <c r="Q176" s="19">
        <v>-100</v>
      </c>
      <c r="R176" s="19">
        <f>SUM(P176:Q176)</f>
        <v>3028.1</v>
      </c>
      <c r="S176" s="19">
        <v>6143.9</v>
      </c>
      <c r="T176" s="19">
        <v>-402</v>
      </c>
      <c r="U176" s="108">
        <f t="shared" ref="U176:U177" si="48">SUM(S176:T176)</f>
        <v>5741.9</v>
      </c>
      <c r="V176" s="9" t="s">
        <v>406</v>
      </c>
      <c r="W176" s="4"/>
    </row>
    <row r="177" spans="1:24" ht="37.5" customHeight="1" collapsed="1" x14ac:dyDescent="0.25">
      <c r="A177" s="45"/>
      <c r="B177" s="4"/>
      <c r="C177" s="47"/>
      <c r="D177" s="151" t="s">
        <v>179</v>
      </c>
      <c r="E177" s="154"/>
      <c r="F177" s="154"/>
      <c r="G177" s="154"/>
      <c r="H177" s="155"/>
      <c r="I177" s="60" t="s">
        <v>36</v>
      </c>
      <c r="J177" s="61" t="s">
        <v>28</v>
      </c>
      <c r="K177" s="61" t="s">
        <v>4</v>
      </c>
      <c r="L177" s="61" t="s">
        <v>4</v>
      </c>
      <c r="M177" s="63">
        <f t="shared" ref="M177:R177" si="49">SUM(M178+M182+M184)</f>
        <v>515555.1</v>
      </c>
      <c r="N177" s="63">
        <f t="shared" si="49"/>
        <v>1060</v>
      </c>
      <c r="O177" s="63">
        <f t="shared" si="49"/>
        <v>516615.1</v>
      </c>
      <c r="P177" s="63">
        <f t="shared" si="49"/>
        <v>516465.1</v>
      </c>
      <c r="Q177" s="63">
        <f t="shared" si="49"/>
        <v>5115.9999999999991</v>
      </c>
      <c r="R177" s="63">
        <f t="shared" si="49"/>
        <v>521581.10000000003</v>
      </c>
      <c r="S177" s="63">
        <v>527275.4</v>
      </c>
      <c r="T177" s="63">
        <f>SUM(T178+T182+T184)</f>
        <v>34136.600000000006</v>
      </c>
      <c r="U177" s="63">
        <f t="shared" si="48"/>
        <v>561412</v>
      </c>
      <c r="V177" s="71"/>
      <c r="W177" s="4"/>
    </row>
    <row r="178" spans="1:24" ht="108.75" customHeight="1" x14ac:dyDescent="0.25">
      <c r="A178" s="45"/>
      <c r="B178" s="38"/>
      <c r="C178" s="46"/>
      <c r="D178" s="148" t="s">
        <v>269</v>
      </c>
      <c r="E178" s="138"/>
      <c r="F178" s="138"/>
      <c r="G178" s="138"/>
      <c r="H178" s="138"/>
      <c r="I178" s="72" t="s">
        <v>35</v>
      </c>
      <c r="J178" s="73" t="s">
        <v>28</v>
      </c>
      <c r="K178" s="73" t="s">
        <v>23</v>
      </c>
      <c r="L178" s="73" t="s">
        <v>4</v>
      </c>
      <c r="M178" s="74">
        <f>M179+M180+M181</f>
        <v>340958.2</v>
      </c>
      <c r="N178" s="74">
        <f>N179+N180+N181</f>
        <v>0</v>
      </c>
      <c r="O178" s="74">
        <f>SUM(M178:N178)</f>
        <v>340958.2</v>
      </c>
      <c r="P178" s="74">
        <f>P179+P180+P181</f>
        <v>340808.2</v>
      </c>
      <c r="Q178" s="74">
        <f>Q179+Q180+Q181</f>
        <v>-479.6</v>
      </c>
      <c r="R178" s="74">
        <f t="shared" ref="R178:R183" si="50">SUM(P178:Q178)</f>
        <v>340328.60000000003</v>
      </c>
      <c r="S178" s="74">
        <v>345655.60000000003</v>
      </c>
      <c r="T178" s="74">
        <f>SUM(T179+T180+T181)</f>
        <v>21571.4</v>
      </c>
      <c r="U178" s="74">
        <f>SUM(S178:T178)</f>
        <v>367227.00000000006</v>
      </c>
      <c r="V178" s="90" t="s">
        <v>446</v>
      </c>
      <c r="W178" s="4"/>
      <c r="X178" s="90" t="s">
        <v>386</v>
      </c>
    </row>
    <row r="179" spans="1:24" ht="90" hidden="1" customHeight="1" outlineLevel="1" x14ac:dyDescent="0.25">
      <c r="A179" s="45"/>
      <c r="B179" s="38"/>
      <c r="C179" s="46"/>
      <c r="D179" s="14"/>
      <c r="E179" s="147" t="s">
        <v>270</v>
      </c>
      <c r="F179" s="139"/>
      <c r="G179" s="139"/>
      <c r="H179" s="139"/>
      <c r="I179" s="15" t="s">
        <v>34</v>
      </c>
      <c r="J179" s="6" t="s">
        <v>28</v>
      </c>
      <c r="K179" s="6" t="s">
        <v>23</v>
      </c>
      <c r="L179" s="6" t="s">
        <v>13</v>
      </c>
      <c r="M179" s="19">
        <v>238572.2</v>
      </c>
      <c r="N179" s="19"/>
      <c r="O179" s="19">
        <f t="shared" ref="O179:O187" si="51">SUM(M179:N179)</f>
        <v>238572.2</v>
      </c>
      <c r="P179" s="19">
        <f>238572.2-150</f>
        <v>238422.2</v>
      </c>
      <c r="Q179" s="19">
        <f>-209.6-270</f>
        <v>-479.6</v>
      </c>
      <c r="R179" s="19">
        <f t="shared" si="50"/>
        <v>237942.6</v>
      </c>
      <c r="S179" s="19">
        <v>236930.1</v>
      </c>
      <c r="T179" s="19">
        <f>1020-920+18058.5+428+49.9-428</f>
        <v>18208.400000000001</v>
      </c>
      <c r="U179" s="19">
        <f t="shared" ref="U179:U187" si="52">SUM(S179:T179)</f>
        <v>255138.5</v>
      </c>
      <c r="V179" s="30" t="s">
        <v>445</v>
      </c>
      <c r="W179" s="4"/>
    </row>
    <row r="180" spans="1:24" ht="39" hidden="1" customHeight="1" outlineLevel="1" x14ac:dyDescent="0.25">
      <c r="A180" s="45"/>
      <c r="B180" s="38"/>
      <c r="C180" s="46"/>
      <c r="D180" s="14"/>
      <c r="E180" s="147" t="s">
        <v>271</v>
      </c>
      <c r="F180" s="139"/>
      <c r="G180" s="139"/>
      <c r="H180" s="139"/>
      <c r="I180" s="15" t="s">
        <v>33</v>
      </c>
      <c r="J180" s="6" t="s">
        <v>28</v>
      </c>
      <c r="K180" s="6" t="s">
        <v>23</v>
      </c>
      <c r="L180" s="6" t="s">
        <v>11</v>
      </c>
      <c r="M180" s="19">
        <v>95886</v>
      </c>
      <c r="N180" s="19"/>
      <c r="O180" s="19">
        <f t="shared" si="51"/>
        <v>95886</v>
      </c>
      <c r="P180" s="19">
        <v>95886</v>
      </c>
      <c r="Q180" s="19"/>
      <c r="R180" s="19">
        <f t="shared" si="50"/>
        <v>95886</v>
      </c>
      <c r="S180" s="19">
        <v>97108.2</v>
      </c>
      <c r="T180" s="19">
        <v>3363</v>
      </c>
      <c r="U180" s="19">
        <f t="shared" si="52"/>
        <v>100471.2</v>
      </c>
      <c r="V180" s="31" t="s">
        <v>397</v>
      </c>
      <c r="W180" s="4"/>
    </row>
    <row r="181" spans="1:24" ht="74.25" hidden="1" customHeight="1" outlineLevel="1" x14ac:dyDescent="0.25">
      <c r="A181" s="45"/>
      <c r="B181" s="38"/>
      <c r="C181" s="46"/>
      <c r="D181" s="14"/>
      <c r="E181" s="139" t="s">
        <v>373</v>
      </c>
      <c r="F181" s="139"/>
      <c r="G181" s="139"/>
      <c r="H181" s="139"/>
      <c r="I181" s="15" t="s">
        <v>33</v>
      </c>
      <c r="J181" s="6" t="s">
        <v>28</v>
      </c>
      <c r="K181" s="6" t="s">
        <v>23</v>
      </c>
      <c r="L181" s="11" t="s">
        <v>10</v>
      </c>
      <c r="M181" s="19">
        <v>6500</v>
      </c>
      <c r="N181" s="19"/>
      <c r="O181" s="19">
        <f>SUM(M181:N181)</f>
        <v>6500</v>
      </c>
      <c r="P181" s="19">
        <v>6500</v>
      </c>
      <c r="Q181" s="19"/>
      <c r="R181" s="19">
        <f t="shared" si="50"/>
        <v>6500</v>
      </c>
      <c r="S181" s="19">
        <v>11617.3</v>
      </c>
      <c r="T181" s="19"/>
      <c r="U181" s="19">
        <f t="shared" si="52"/>
        <v>11617.3</v>
      </c>
      <c r="V181" s="31"/>
      <c r="W181" s="4"/>
    </row>
    <row r="182" spans="1:24" ht="31.5" customHeight="1" collapsed="1" x14ac:dyDescent="0.25">
      <c r="A182" s="45"/>
      <c r="B182" s="38"/>
      <c r="C182" s="46"/>
      <c r="D182" s="148" t="s">
        <v>272</v>
      </c>
      <c r="E182" s="138"/>
      <c r="F182" s="138"/>
      <c r="G182" s="138"/>
      <c r="H182" s="138"/>
      <c r="I182" s="72" t="s">
        <v>32</v>
      </c>
      <c r="J182" s="73" t="s">
        <v>28</v>
      </c>
      <c r="K182" s="73" t="s">
        <v>18</v>
      </c>
      <c r="L182" s="73" t="s">
        <v>4</v>
      </c>
      <c r="M182" s="74">
        <f>M183</f>
        <v>0</v>
      </c>
      <c r="N182" s="74">
        <f>N183</f>
        <v>0</v>
      </c>
      <c r="O182" s="74">
        <f>SUM(M182:N182)</f>
        <v>0</v>
      </c>
      <c r="P182" s="74">
        <v>0</v>
      </c>
      <c r="Q182" s="74">
        <f>Q183</f>
        <v>0</v>
      </c>
      <c r="R182" s="74">
        <f t="shared" si="50"/>
        <v>0</v>
      </c>
      <c r="S182" s="74">
        <v>0</v>
      </c>
      <c r="T182" s="74">
        <f>SUM(T183)</f>
        <v>0</v>
      </c>
      <c r="U182" s="74">
        <f t="shared" si="52"/>
        <v>0</v>
      </c>
      <c r="V182" s="80"/>
      <c r="W182" s="4"/>
    </row>
    <row r="183" spans="1:24" ht="46.5" hidden="1" customHeight="1" outlineLevel="1" x14ac:dyDescent="0.25">
      <c r="A183" s="45"/>
      <c r="B183" s="38"/>
      <c r="C183" s="46"/>
      <c r="D183" s="14"/>
      <c r="E183" s="147" t="s">
        <v>273</v>
      </c>
      <c r="F183" s="139"/>
      <c r="G183" s="139"/>
      <c r="H183" s="139"/>
      <c r="I183" s="15" t="s">
        <v>32</v>
      </c>
      <c r="J183" s="6" t="s">
        <v>28</v>
      </c>
      <c r="K183" s="6" t="s">
        <v>18</v>
      </c>
      <c r="L183" s="6" t="s">
        <v>13</v>
      </c>
      <c r="M183" s="19">
        <v>0</v>
      </c>
      <c r="N183" s="19"/>
      <c r="O183" s="19">
        <f t="shared" si="51"/>
        <v>0</v>
      </c>
      <c r="P183" s="19">
        <v>0</v>
      </c>
      <c r="Q183" s="19"/>
      <c r="R183" s="19">
        <f t="shared" si="50"/>
        <v>0</v>
      </c>
      <c r="S183" s="19">
        <v>0</v>
      </c>
      <c r="T183" s="19"/>
      <c r="U183" s="19">
        <f t="shared" si="52"/>
        <v>0</v>
      </c>
      <c r="V183" s="24"/>
      <c r="W183" s="4"/>
    </row>
    <row r="184" spans="1:24" ht="144.75" customHeight="1" collapsed="1" x14ac:dyDescent="0.25">
      <c r="A184" s="45"/>
      <c r="B184" s="38"/>
      <c r="C184" s="46"/>
      <c r="D184" s="148" t="s">
        <v>274</v>
      </c>
      <c r="E184" s="138"/>
      <c r="F184" s="138"/>
      <c r="G184" s="138"/>
      <c r="H184" s="138"/>
      <c r="I184" s="72" t="s">
        <v>31</v>
      </c>
      <c r="J184" s="73" t="s">
        <v>28</v>
      </c>
      <c r="K184" s="73" t="s">
        <v>27</v>
      </c>
      <c r="L184" s="73" t="s">
        <v>4</v>
      </c>
      <c r="M184" s="74">
        <f>SUM(M185:M187)</f>
        <v>174596.9</v>
      </c>
      <c r="N184" s="74">
        <f>SUM(N185:N187)</f>
        <v>1060</v>
      </c>
      <c r="O184" s="74">
        <f>SUM(O185:O187)</f>
        <v>175656.9</v>
      </c>
      <c r="P184" s="74">
        <v>175656.9</v>
      </c>
      <c r="Q184" s="74">
        <f>SUM(Q185:Q187)</f>
        <v>5595.5999999999995</v>
      </c>
      <c r="R184" s="74">
        <f>SUM(R185:R187)</f>
        <v>181252.5</v>
      </c>
      <c r="S184" s="74">
        <v>181619.8</v>
      </c>
      <c r="T184" s="74">
        <f>SUM(T185+T186+T187)</f>
        <v>12565.2</v>
      </c>
      <c r="U184" s="74">
        <f t="shared" si="52"/>
        <v>194185</v>
      </c>
      <c r="V184" s="75" t="s">
        <v>433</v>
      </c>
      <c r="W184" s="4"/>
    </row>
    <row r="185" spans="1:24" ht="98.25" hidden="1" customHeight="1" outlineLevel="1" x14ac:dyDescent="0.25">
      <c r="A185" s="45"/>
      <c r="B185" s="38"/>
      <c r="C185" s="46"/>
      <c r="D185" s="14"/>
      <c r="E185" s="147" t="s">
        <v>275</v>
      </c>
      <c r="F185" s="139"/>
      <c r="G185" s="139"/>
      <c r="H185" s="139"/>
      <c r="I185" s="15" t="s">
        <v>30</v>
      </c>
      <c r="J185" s="6" t="s">
        <v>28</v>
      </c>
      <c r="K185" s="6" t="s">
        <v>27</v>
      </c>
      <c r="L185" s="6" t="s">
        <v>13</v>
      </c>
      <c r="M185" s="19">
        <v>120165</v>
      </c>
      <c r="N185" s="19">
        <v>360</v>
      </c>
      <c r="O185" s="19">
        <f t="shared" si="51"/>
        <v>120525</v>
      </c>
      <c r="P185" s="19">
        <v>120525</v>
      </c>
      <c r="Q185" s="19">
        <f>586.2+2467</f>
        <v>3053.2</v>
      </c>
      <c r="R185" s="19">
        <f>SUM(P185:Q185)</f>
        <v>123578.2</v>
      </c>
      <c r="S185" s="19">
        <v>123532.9</v>
      </c>
      <c r="T185" s="19">
        <f>2729.1+4369.1</f>
        <v>7098.2000000000007</v>
      </c>
      <c r="U185" s="19">
        <f t="shared" si="52"/>
        <v>130631.09999999999</v>
      </c>
      <c r="V185" s="9" t="s">
        <v>419</v>
      </c>
      <c r="W185" s="4"/>
    </row>
    <row r="186" spans="1:24" ht="93.75" hidden="1" customHeight="1" outlineLevel="1" x14ac:dyDescent="0.25">
      <c r="A186" s="45"/>
      <c r="B186" s="38"/>
      <c r="C186" s="46"/>
      <c r="D186" s="14"/>
      <c r="E186" s="147" t="s">
        <v>276</v>
      </c>
      <c r="F186" s="139"/>
      <c r="G186" s="139"/>
      <c r="H186" s="139"/>
      <c r="I186" s="15" t="s">
        <v>29</v>
      </c>
      <c r="J186" s="6" t="s">
        <v>28</v>
      </c>
      <c r="K186" s="6" t="s">
        <v>27</v>
      </c>
      <c r="L186" s="6" t="s">
        <v>11</v>
      </c>
      <c r="M186" s="19">
        <v>54431.9</v>
      </c>
      <c r="N186" s="19">
        <v>700</v>
      </c>
      <c r="O186" s="19">
        <f t="shared" si="51"/>
        <v>55131.9</v>
      </c>
      <c r="P186" s="19">
        <v>55131.9</v>
      </c>
      <c r="Q186" s="19">
        <f>485+1916.2+91.2+50</f>
        <v>2542.3999999999996</v>
      </c>
      <c r="R186" s="19">
        <f>SUM(P186:Q186)</f>
        <v>57674.3</v>
      </c>
      <c r="S186" s="19">
        <v>58086.9</v>
      </c>
      <c r="T186" s="19">
        <f>1978.3-64.9+3553.6</f>
        <v>5467</v>
      </c>
      <c r="U186" s="19">
        <f t="shared" si="52"/>
        <v>63553.9</v>
      </c>
      <c r="V186" s="9" t="s">
        <v>420</v>
      </c>
      <c r="W186" s="4"/>
    </row>
    <row r="187" spans="1:24" ht="56.25" hidden="1" customHeight="1" outlineLevel="1" x14ac:dyDescent="0.25">
      <c r="A187" s="45"/>
      <c r="B187" s="38"/>
      <c r="C187" s="46"/>
      <c r="D187" s="14"/>
      <c r="E187" s="147" t="s">
        <v>277</v>
      </c>
      <c r="F187" s="139"/>
      <c r="G187" s="139"/>
      <c r="H187" s="139"/>
      <c r="I187" s="15" t="s">
        <v>25</v>
      </c>
      <c r="J187" s="6" t="s">
        <v>28</v>
      </c>
      <c r="K187" s="6" t="s">
        <v>27</v>
      </c>
      <c r="L187" s="6" t="s">
        <v>26</v>
      </c>
      <c r="M187" s="19">
        <v>0</v>
      </c>
      <c r="N187" s="19"/>
      <c r="O187" s="19">
        <f t="shared" si="51"/>
        <v>0</v>
      </c>
      <c r="P187" s="19">
        <v>0</v>
      </c>
      <c r="Q187" s="19"/>
      <c r="R187" s="19">
        <f>SUM(P187:Q187)</f>
        <v>0</v>
      </c>
      <c r="S187" s="19">
        <v>0</v>
      </c>
      <c r="T187" s="19"/>
      <c r="U187" s="19">
        <f t="shared" si="52"/>
        <v>0</v>
      </c>
      <c r="V187" s="9"/>
      <c r="W187" s="4"/>
    </row>
    <row r="188" spans="1:24" ht="29.25" customHeight="1" collapsed="1" x14ac:dyDescent="0.25">
      <c r="A188" s="45"/>
      <c r="B188" s="4"/>
      <c r="C188" s="47"/>
      <c r="D188" s="151" t="s">
        <v>317</v>
      </c>
      <c r="E188" s="154"/>
      <c r="F188" s="154"/>
      <c r="G188" s="154"/>
      <c r="H188" s="155"/>
      <c r="I188" s="60" t="s">
        <v>24</v>
      </c>
      <c r="J188" s="61" t="s">
        <v>19</v>
      </c>
      <c r="K188" s="61" t="s">
        <v>4</v>
      </c>
      <c r="L188" s="61" t="s">
        <v>4</v>
      </c>
      <c r="M188" s="63">
        <f>M189+M197</f>
        <v>115913.4</v>
      </c>
      <c r="N188" s="63">
        <f>N189+N197</f>
        <v>15000</v>
      </c>
      <c r="O188" s="63">
        <f>O189+O197</f>
        <v>130913.4</v>
      </c>
      <c r="P188" s="63">
        <v>130913.4</v>
      </c>
      <c r="Q188" s="63">
        <f>Q189+Q197</f>
        <v>6809.4</v>
      </c>
      <c r="R188" s="63">
        <f>R189+R197</f>
        <v>137722.79999999999</v>
      </c>
      <c r="S188" s="63">
        <v>198192.5</v>
      </c>
      <c r="T188" s="63">
        <f>SUM(T189+T197)</f>
        <v>-3962.1</v>
      </c>
      <c r="U188" s="63">
        <f>SUM(S188:T188)</f>
        <v>194230.39999999999</v>
      </c>
      <c r="V188" s="65"/>
      <c r="W188" s="4"/>
    </row>
    <row r="189" spans="1:24" ht="42.75" customHeight="1" x14ac:dyDescent="0.25">
      <c r="A189" s="45"/>
      <c r="B189" s="38"/>
      <c r="C189" s="46"/>
      <c r="D189" s="148" t="s">
        <v>278</v>
      </c>
      <c r="E189" s="138"/>
      <c r="F189" s="138"/>
      <c r="G189" s="138"/>
      <c r="H189" s="138"/>
      <c r="I189" s="72" t="s">
        <v>22</v>
      </c>
      <c r="J189" s="73" t="s">
        <v>19</v>
      </c>
      <c r="K189" s="73" t="s">
        <v>23</v>
      </c>
      <c r="L189" s="73" t="s">
        <v>4</v>
      </c>
      <c r="M189" s="74">
        <f>M194+M190</f>
        <v>0</v>
      </c>
      <c r="N189" s="74">
        <f>N194+N190</f>
        <v>0</v>
      </c>
      <c r="O189" s="74">
        <f t="shared" ref="O189:O197" si="53">SUM(M189:N189)</f>
        <v>0</v>
      </c>
      <c r="P189" s="74">
        <v>0</v>
      </c>
      <c r="Q189" s="74">
        <f>Q194+Q190</f>
        <v>0</v>
      </c>
      <c r="R189" s="74">
        <f t="shared" ref="R189:R201" si="54">SUM(P189:Q189)</f>
        <v>0</v>
      </c>
      <c r="S189" s="74">
        <v>10328.1</v>
      </c>
      <c r="T189" s="74">
        <f>SUM(T190+T191+T192+T193+T194+T195)</f>
        <v>-0.5</v>
      </c>
      <c r="U189" s="74">
        <f>SUM(S189:T189)</f>
        <v>10327.6</v>
      </c>
      <c r="V189" s="75" t="s">
        <v>407</v>
      </c>
      <c r="W189" s="4"/>
    </row>
    <row r="190" spans="1:24" ht="57" hidden="1" customHeight="1" outlineLevel="1" x14ac:dyDescent="0.25">
      <c r="A190" s="45"/>
      <c r="B190" s="38"/>
      <c r="C190" s="46"/>
      <c r="D190" s="50"/>
      <c r="E190" s="139" t="s">
        <v>308</v>
      </c>
      <c r="F190" s="139"/>
      <c r="G190" s="139"/>
      <c r="H190" s="139"/>
      <c r="I190" s="15" t="s">
        <v>22</v>
      </c>
      <c r="J190" s="6" t="s">
        <v>19</v>
      </c>
      <c r="K190" s="6" t="s">
        <v>23</v>
      </c>
      <c r="L190" s="11" t="s">
        <v>13</v>
      </c>
      <c r="M190" s="19">
        <v>0</v>
      </c>
      <c r="N190" s="19"/>
      <c r="O190" s="19">
        <f t="shared" si="53"/>
        <v>0</v>
      </c>
      <c r="P190" s="19">
        <v>0</v>
      </c>
      <c r="Q190" s="19"/>
      <c r="R190" s="19">
        <f t="shared" si="54"/>
        <v>0</v>
      </c>
      <c r="S190" s="19">
        <v>4343.1000000000004</v>
      </c>
      <c r="T190" s="19">
        <v>-0.5</v>
      </c>
      <c r="U190" s="19">
        <f>SUM(S190:T190)</f>
        <v>4342.6000000000004</v>
      </c>
      <c r="V190" s="9" t="s">
        <v>407</v>
      </c>
      <c r="W190" s="4"/>
    </row>
    <row r="191" spans="1:24" ht="39.75" hidden="1" customHeight="1" outlineLevel="1" x14ac:dyDescent="0.25">
      <c r="A191" s="45"/>
      <c r="B191" s="38"/>
      <c r="C191" s="46"/>
      <c r="D191" s="50"/>
      <c r="E191" s="139" t="s">
        <v>380</v>
      </c>
      <c r="F191" s="139"/>
      <c r="G191" s="139"/>
      <c r="H191" s="139"/>
      <c r="I191" s="15"/>
      <c r="J191" s="6">
        <v>23</v>
      </c>
      <c r="K191" s="6">
        <v>1</v>
      </c>
      <c r="L191" s="11" t="s">
        <v>7</v>
      </c>
      <c r="M191" s="19">
        <v>0</v>
      </c>
      <c r="N191" s="19"/>
      <c r="O191" s="19">
        <f t="shared" si="53"/>
        <v>0</v>
      </c>
      <c r="P191" s="19">
        <v>0</v>
      </c>
      <c r="Q191" s="19"/>
      <c r="R191" s="19">
        <f t="shared" si="54"/>
        <v>0</v>
      </c>
      <c r="S191" s="19">
        <v>1117.3</v>
      </c>
      <c r="T191" s="19"/>
      <c r="U191" s="19">
        <f t="shared" ref="U191:U195" si="55">SUM(S191:T191)</f>
        <v>1117.3</v>
      </c>
      <c r="V191" s="9"/>
      <c r="W191" s="4"/>
    </row>
    <row r="192" spans="1:24" ht="48.75" hidden="1" customHeight="1" outlineLevel="1" x14ac:dyDescent="0.25">
      <c r="A192" s="45"/>
      <c r="B192" s="38"/>
      <c r="C192" s="46"/>
      <c r="D192" s="50"/>
      <c r="E192" s="139" t="s">
        <v>381</v>
      </c>
      <c r="F192" s="139"/>
      <c r="G192" s="139"/>
      <c r="H192" s="139"/>
      <c r="I192" s="15"/>
      <c r="J192" s="6">
        <v>23</v>
      </c>
      <c r="K192" s="6">
        <v>1</v>
      </c>
      <c r="L192" s="11" t="s">
        <v>5</v>
      </c>
      <c r="M192" s="19">
        <v>0</v>
      </c>
      <c r="N192" s="19"/>
      <c r="O192" s="19">
        <f t="shared" si="53"/>
        <v>0</v>
      </c>
      <c r="P192" s="19">
        <v>0</v>
      </c>
      <c r="Q192" s="19"/>
      <c r="R192" s="19">
        <f t="shared" si="54"/>
        <v>0</v>
      </c>
      <c r="S192" s="19">
        <v>1153.5</v>
      </c>
      <c r="T192" s="19"/>
      <c r="U192" s="19">
        <f t="shared" si="55"/>
        <v>1153.5</v>
      </c>
      <c r="V192" s="9"/>
      <c r="W192" s="4"/>
    </row>
    <row r="193" spans="1:24" ht="39" hidden="1" customHeight="1" outlineLevel="1" x14ac:dyDescent="0.25">
      <c r="A193" s="45"/>
      <c r="B193" s="38"/>
      <c r="C193" s="46"/>
      <c r="D193" s="50"/>
      <c r="E193" s="139" t="s">
        <v>382</v>
      </c>
      <c r="F193" s="139"/>
      <c r="G193" s="139"/>
      <c r="H193" s="139"/>
      <c r="I193" s="15"/>
      <c r="J193" s="6">
        <v>23</v>
      </c>
      <c r="K193" s="6">
        <v>1</v>
      </c>
      <c r="L193" s="11" t="s">
        <v>1</v>
      </c>
      <c r="M193" s="19">
        <v>0</v>
      </c>
      <c r="N193" s="19"/>
      <c r="O193" s="19">
        <f t="shared" si="53"/>
        <v>0</v>
      </c>
      <c r="P193" s="19">
        <v>0</v>
      </c>
      <c r="Q193" s="19"/>
      <c r="R193" s="19">
        <f t="shared" si="54"/>
        <v>0</v>
      </c>
      <c r="S193" s="19">
        <v>1112.0999999999999</v>
      </c>
      <c r="T193" s="19"/>
      <c r="U193" s="19">
        <f t="shared" si="55"/>
        <v>1112.0999999999999</v>
      </c>
      <c r="V193" s="9"/>
      <c r="W193" s="4"/>
    </row>
    <row r="194" spans="1:24" ht="41.25" hidden="1" customHeight="1" outlineLevel="1" x14ac:dyDescent="0.25">
      <c r="A194" s="45"/>
      <c r="B194" s="38"/>
      <c r="C194" s="46"/>
      <c r="D194" s="14"/>
      <c r="E194" s="139" t="s">
        <v>383</v>
      </c>
      <c r="F194" s="139"/>
      <c r="G194" s="139"/>
      <c r="H194" s="139"/>
      <c r="I194" s="15" t="s">
        <v>22</v>
      </c>
      <c r="J194" s="6" t="s">
        <v>19</v>
      </c>
      <c r="K194" s="6" t="s">
        <v>23</v>
      </c>
      <c r="L194" s="11" t="s">
        <v>134</v>
      </c>
      <c r="M194" s="19">
        <v>0</v>
      </c>
      <c r="N194" s="19"/>
      <c r="O194" s="19">
        <f t="shared" si="53"/>
        <v>0</v>
      </c>
      <c r="P194" s="19">
        <v>0</v>
      </c>
      <c r="Q194" s="19"/>
      <c r="R194" s="19">
        <f t="shared" si="54"/>
        <v>0</v>
      </c>
      <c r="S194" s="19">
        <v>1469.1</v>
      </c>
      <c r="T194" s="19"/>
      <c r="U194" s="19">
        <f t="shared" si="55"/>
        <v>1469.1</v>
      </c>
      <c r="V194" s="9"/>
      <c r="W194" s="4"/>
    </row>
    <row r="195" spans="1:24" ht="34.5" hidden="1" customHeight="1" outlineLevel="1" x14ac:dyDescent="0.25">
      <c r="A195" s="45"/>
      <c r="B195" s="38"/>
      <c r="C195" s="46"/>
      <c r="D195" s="14"/>
      <c r="E195" s="139" t="s">
        <v>384</v>
      </c>
      <c r="F195" s="139"/>
      <c r="G195" s="139"/>
      <c r="H195" s="139"/>
      <c r="I195" s="15"/>
      <c r="J195" s="6" t="s">
        <v>19</v>
      </c>
      <c r="K195" s="6" t="s">
        <v>23</v>
      </c>
      <c r="L195" s="11" t="s">
        <v>124</v>
      </c>
      <c r="M195" s="19"/>
      <c r="N195" s="19"/>
      <c r="O195" s="19"/>
      <c r="P195" s="19"/>
      <c r="Q195" s="19"/>
      <c r="R195" s="19"/>
      <c r="S195" s="19">
        <v>1133</v>
      </c>
      <c r="T195" s="19"/>
      <c r="U195" s="19">
        <f t="shared" si="55"/>
        <v>1133</v>
      </c>
      <c r="V195" s="9"/>
      <c r="W195" s="4"/>
    </row>
    <row r="196" spans="1:24" ht="28.5" hidden="1" customHeight="1" outlineLevel="1" x14ac:dyDescent="0.25">
      <c r="A196" s="45"/>
      <c r="B196" s="38"/>
      <c r="C196" s="46"/>
      <c r="D196" s="14"/>
      <c r="E196" s="147" t="s">
        <v>279</v>
      </c>
      <c r="F196" s="139"/>
      <c r="G196" s="139"/>
      <c r="H196" s="139"/>
      <c r="I196" s="15"/>
      <c r="J196" s="6" t="s">
        <v>19</v>
      </c>
      <c r="K196" s="6" t="s">
        <v>23</v>
      </c>
      <c r="L196" s="11" t="s">
        <v>17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9"/>
      <c r="W196" s="4"/>
    </row>
    <row r="197" spans="1:24" ht="45" customHeight="1" collapsed="1" x14ac:dyDescent="0.25">
      <c r="A197" s="45"/>
      <c r="B197" s="38"/>
      <c r="C197" s="46"/>
      <c r="D197" s="148" t="s">
        <v>280</v>
      </c>
      <c r="E197" s="138"/>
      <c r="F197" s="138"/>
      <c r="G197" s="138"/>
      <c r="H197" s="138"/>
      <c r="I197" s="72" t="s">
        <v>21</v>
      </c>
      <c r="J197" s="73" t="s">
        <v>19</v>
      </c>
      <c r="K197" s="73" t="s">
        <v>18</v>
      </c>
      <c r="L197" s="73" t="s">
        <v>4</v>
      </c>
      <c r="M197" s="74">
        <f>M198+M201</f>
        <v>115913.4</v>
      </c>
      <c r="N197" s="74">
        <f>N198+N201</f>
        <v>15000</v>
      </c>
      <c r="O197" s="74">
        <f t="shared" si="53"/>
        <v>130913.4</v>
      </c>
      <c r="P197" s="74">
        <v>130913.4</v>
      </c>
      <c r="Q197" s="74">
        <f>Q198+Q201</f>
        <v>6809.4</v>
      </c>
      <c r="R197" s="74">
        <f t="shared" si="54"/>
        <v>137722.79999999999</v>
      </c>
      <c r="S197" s="74">
        <v>187864.4</v>
      </c>
      <c r="T197" s="74">
        <f>SUM(T198+T199+T200+T201)</f>
        <v>-3961.6</v>
      </c>
      <c r="U197" s="74">
        <f>SUM(S197:T197)</f>
        <v>183902.8</v>
      </c>
      <c r="V197" s="75" t="s">
        <v>449</v>
      </c>
      <c r="W197" s="4"/>
    </row>
    <row r="198" spans="1:24" ht="66.75" hidden="1" customHeight="1" outlineLevel="1" x14ac:dyDescent="0.25">
      <c r="A198" s="45"/>
      <c r="B198" s="38"/>
      <c r="C198" s="46"/>
      <c r="D198" s="14"/>
      <c r="E198" s="147" t="s">
        <v>281</v>
      </c>
      <c r="F198" s="139"/>
      <c r="G198" s="139"/>
      <c r="H198" s="139"/>
      <c r="I198" s="15" t="s">
        <v>20</v>
      </c>
      <c r="J198" s="6" t="s">
        <v>19</v>
      </c>
      <c r="K198" s="6" t="s">
        <v>18</v>
      </c>
      <c r="L198" s="6" t="s">
        <v>13</v>
      </c>
      <c r="M198" s="19">
        <v>0</v>
      </c>
      <c r="N198" s="19"/>
      <c r="O198" s="19">
        <f t="shared" ref="O198:O209" si="56">SUM(M198:N198)</f>
        <v>0</v>
      </c>
      <c r="P198" s="19">
        <v>0</v>
      </c>
      <c r="Q198" s="19">
        <f>3500+3294.4</f>
        <v>6794.4</v>
      </c>
      <c r="R198" s="19">
        <f t="shared" si="54"/>
        <v>6794.4</v>
      </c>
      <c r="S198" s="19">
        <v>7439.7</v>
      </c>
      <c r="T198" s="19"/>
      <c r="U198" s="19">
        <f t="shared" ref="U198:U201" si="57">SUM(S198:T198)</f>
        <v>7439.7</v>
      </c>
      <c r="V198" s="9"/>
      <c r="W198" s="4"/>
    </row>
    <row r="199" spans="1:24" ht="38.25" hidden="1" customHeight="1" outlineLevel="1" x14ac:dyDescent="0.25">
      <c r="A199" s="45"/>
      <c r="B199" s="38"/>
      <c r="C199" s="46"/>
      <c r="D199" s="14"/>
      <c r="E199" s="139" t="s">
        <v>353</v>
      </c>
      <c r="F199" s="139"/>
      <c r="G199" s="139"/>
      <c r="H199" s="139"/>
      <c r="I199" s="15"/>
      <c r="J199" s="6">
        <v>23</v>
      </c>
      <c r="K199" s="6">
        <v>2</v>
      </c>
      <c r="L199" s="11" t="s">
        <v>11</v>
      </c>
      <c r="M199" s="19">
        <v>0</v>
      </c>
      <c r="N199" s="19"/>
      <c r="O199" s="19">
        <f t="shared" si="56"/>
        <v>0</v>
      </c>
      <c r="P199" s="19">
        <v>0</v>
      </c>
      <c r="Q199" s="19"/>
      <c r="R199" s="19">
        <f t="shared" si="54"/>
        <v>0</v>
      </c>
      <c r="S199" s="19">
        <v>0</v>
      </c>
      <c r="T199" s="19"/>
      <c r="U199" s="19">
        <f t="shared" si="57"/>
        <v>0</v>
      </c>
      <c r="V199" s="9"/>
      <c r="W199" s="4"/>
    </row>
    <row r="200" spans="1:24" ht="42" hidden="1" customHeight="1" outlineLevel="1" x14ac:dyDescent="0.25">
      <c r="A200" s="45"/>
      <c r="B200" s="38"/>
      <c r="C200" s="46"/>
      <c r="D200" s="14"/>
      <c r="E200" s="139" t="s">
        <v>354</v>
      </c>
      <c r="F200" s="139"/>
      <c r="G200" s="139"/>
      <c r="H200" s="139"/>
      <c r="I200" s="15"/>
      <c r="J200" s="6">
        <v>23</v>
      </c>
      <c r="K200" s="6">
        <v>2</v>
      </c>
      <c r="L200" s="11" t="s">
        <v>26</v>
      </c>
      <c r="M200" s="19">
        <v>0</v>
      </c>
      <c r="N200" s="19"/>
      <c r="O200" s="19">
        <f t="shared" si="56"/>
        <v>0</v>
      </c>
      <c r="P200" s="19">
        <v>0</v>
      </c>
      <c r="Q200" s="19"/>
      <c r="R200" s="19">
        <f t="shared" si="54"/>
        <v>0</v>
      </c>
      <c r="S200" s="19">
        <v>0</v>
      </c>
      <c r="T200" s="19"/>
      <c r="U200" s="19">
        <f t="shared" si="57"/>
        <v>0</v>
      </c>
      <c r="V200" s="9"/>
      <c r="W200" s="4"/>
    </row>
    <row r="201" spans="1:24" ht="48" hidden="1" customHeight="1" outlineLevel="1" x14ac:dyDescent="0.25">
      <c r="A201" s="45"/>
      <c r="B201" s="38"/>
      <c r="C201" s="46"/>
      <c r="D201" s="14"/>
      <c r="E201" s="147" t="s">
        <v>279</v>
      </c>
      <c r="F201" s="139"/>
      <c r="G201" s="139"/>
      <c r="H201" s="139"/>
      <c r="I201" s="15" t="s">
        <v>16</v>
      </c>
      <c r="J201" s="6" t="s">
        <v>19</v>
      </c>
      <c r="K201" s="6" t="s">
        <v>18</v>
      </c>
      <c r="L201" s="6" t="s">
        <v>17</v>
      </c>
      <c r="M201" s="19">
        <v>115913.4</v>
      </c>
      <c r="N201" s="19">
        <f>15000</f>
        <v>15000</v>
      </c>
      <c r="O201" s="19">
        <f t="shared" si="56"/>
        <v>130913.4</v>
      </c>
      <c r="P201" s="19">
        <v>130913.4</v>
      </c>
      <c r="Q201" s="19">
        <f>15+0</f>
        <v>15</v>
      </c>
      <c r="R201" s="19">
        <f t="shared" si="54"/>
        <v>130928.4</v>
      </c>
      <c r="S201" s="19">
        <v>180424.7</v>
      </c>
      <c r="T201" s="19">
        <v>-3961.6</v>
      </c>
      <c r="U201" s="19">
        <f t="shared" si="57"/>
        <v>176463.1</v>
      </c>
      <c r="V201" s="9" t="s">
        <v>449</v>
      </c>
      <c r="W201" s="4"/>
    </row>
    <row r="202" spans="1:24" ht="161.25" customHeight="1" collapsed="1" thickBot="1" x14ac:dyDescent="0.3">
      <c r="A202" s="45"/>
      <c r="B202" s="38"/>
      <c r="C202" s="46"/>
      <c r="D202" s="174" t="s">
        <v>180</v>
      </c>
      <c r="E202" s="175"/>
      <c r="F202" s="175"/>
      <c r="G202" s="175"/>
      <c r="H202" s="176"/>
      <c r="I202" s="60" t="s">
        <v>15</v>
      </c>
      <c r="J202" s="95" t="s">
        <v>3</v>
      </c>
      <c r="K202" s="95" t="s">
        <v>2</v>
      </c>
      <c r="L202" s="95" t="s">
        <v>4</v>
      </c>
      <c r="M202" s="63">
        <f>M203+M204+M205+M206+M207+M208+M209</f>
        <v>41394.100000000006</v>
      </c>
      <c r="N202" s="63">
        <f>N203+N204+N205+N206+N207+N208+N209</f>
        <v>4057.2000000000003</v>
      </c>
      <c r="O202" s="63">
        <f>O203+O204+O205+O206+O207+O208+O209</f>
        <v>45451.3</v>
      </c>
      <c r="P202" s="63">
        <v>45451.3</v>
      </c>
      <c r="Q202" s="63">
        <f>Q203+Q204+Q205+Q206+Q207+Q208+Q209</f>
        <v>10346.4</v>
      </c>
      <c r="R202" s="63">
        <f>R203+R204+R205+R206+R207+R208+R209</f>
        <v>55797.700000000012</v>
      </c>
      <c r="S202" s="105">
        <v>57903.100000000013</v>
      </c>
      <c r="T202" s="105">
        <f>SUM(T203+T204+T205+T206+T207+T208+T209)</f>
        <v>4218.5</v>
      </c>
      <c r="U202" s="105">
        <f>SUM(S202:T202)</f>
        <v>62121.600000000013</v>
      </c>
      <c r="V202" s="96" t="s">
        <v>448</v>
      </c>
      <c r="W202" s="4"/>
    </row>
    <row r="203" spans="1:24" ht="64.5" hidden="1" customHeight="1" outlineLevel="1" x14ac:dyDescent="0.25">
      <c r="A203" s="45"/>
      <c r="B203" s="38"/>
      <c r="C203" s="46"/>
      <c r="D203" s="14"/>
      <c r="E203" s="147" t="s">
        <v>282</v>
      </c>
      <c r="F203" s="139"/>
      <c r="G203" s="139"/>
      <c r="H203" s="139"/>
      <c r="I203" s="15" t="s">
        <v>14</v>
      </c>
      <c r="J203" s="6" t="s">
        <v>3</v>
      </c>
      <c r="K203" s="6" t="s">
        <v>2</v>
      </c>
      <c r="L203" s="6" t="s">
        <v>13</v>
      </c>
      <c r="M203" s="19">
        <v>10389.1</v>
      </c>
      <c r="N203" s="19"/>
      <c r="O203" s="19">
        <f t="shared" si="56"/>
        <v>10389.1</v>
      </c>
      <c r="P203" s="19">
        <v>10389.1</v>
      </c>
      <c r="Q203" s="19"/>
      <c r="R203" s="19">
        <f t="shared" ref="R203:R209" si="58">SUM(P203:Q203)</f>
        <v>10389.1</v>
      </c>
      <c r="S203" s="19">
        <v>10442.9</v>
      </c>
      <c r="T203" s="19">
        <f>0.5+14.8</f>
        <v>15.3</v>
      </c>
      <c r="U203" s="109">
        <f t="shared" ref="U203:U209" si="59">SUM(S203:T203)</f>
        <v>10458.199999999999</v>
      </c>
      <c r="V203" s="9" t="s">
        <v>421</v>
      </c>
      <c r="W203" s="4"/>
      <c r="X203" s="17"/>
    </row>
    <row r="204" spans="1:24" ht="84" hidden="1" customHeight="1" outlineLevel="1" x14ac:dyDescent="0.25">
      <c r="A204" s="45"/>
      <c r="B204" s="38"/>
      <c r="C204" s="46"/>
      <c r="D204" s="14"/>
      <c r="E204" s="139" t="s">
        <v>385</v>
      </c>
      <c r="F204" s="139"/>
      <c r="G204" s="139"/>
      <c r="H204" s="139"/>
      <c r="I204" s="15" t="s">
        <v>12</v>
      </c>
      <c r="J204" s="6" t="s">
        <v>3</v>
      </c>
      <c r="K204" s="6" t="s">
        <v>2</v>
      </c>
      <c r="L204" s="6" t="s">
        <v>11</v>
      </c>
      <c r="M204" s="19">
        <v>12479.7</v>
      </c>
      <c r="N204" s="19"/>
      <c r="O204" s="19">
        <f t="shared" si="56"/>
        <v>12479.7</v>
      </c>
      <c r="P204" s="19">
        <v>12479.7</v>
      </c>
      <c r="Q204" s="19">
        <v>-27.5</v>
      </c>
      <c r="R204" s="19">
        <f t="shared" si="58"/>
        <v>12452.2</v>
      </c>
      <c r="S204" s="19">
        <v>13758.6</v>
      </c>
      <c r="T204" s="19">
        <v>578.4</v>
      </c>
      <c r="U204" s="109">
        <f t="shared" si="59"/>
        <v>14337</v>
      </c>
      <c r="V204" s="9" t="s">
        <v>422</v>
      </c>
      <c r="W204" s="4"/>
    </row>
    <row r="205" spans="1:24" ht="27.75" hidden="1" customHeight="1" outlineLevel="1" x14ac:dyDescent="0.25">
      <c r="A205" s="45"/>
      <c r="B205" s="38"/>
      <c r="C205" s="46"/>
      <c r="D205" s="14"/>
      <c r="E205" s="147" t="s">
        <v>285</v>
      </c>
      <c r="F205" s="139"/>
      <c r="G205" s="139"/>
      <c r="H205" s="139"/>
      <c r="I205" s="15" t="s">
        <v>9</v>
      </c>
      <c r="J205" s="6" t="s">
        <v>3</v>
      </c>
      <c r="K205" s="6" t="s">
        <v>2</v>
      </c>
      <c r="L205" s="6" t="s">
        <v>10</v>
      </c>
      <c r="M205" s="19">
        <v>1500</v>
      </c>
      <c r="N205" s="19"/>
      <c r="O205" s="19">
        <f t="shared" si="56"/>
        <v>1500</v>
      </c>
      <c r="P205" s="19">
        <v>1500</v>
      </c>
      <c r="Q205" s="19">
        <v>-50.8</v>
      </c>
      <c r="R205" s="19">
        <f t="shared" si="58"/>
        <v>1449.2</v>
      </c>
      <c r="S205" s="19">
        <v>1356.1000000000001</v>
      </c>
      <c r="T205" s="19"/>
      <c r="U205" s="109">
        <f t="shared" si="59"/>
        <v>1356.1000000000001</v>
      </c>
      <c r="V205" s="9"/>
      <c r="W205" s="4"/>
    </row>
    <row r="206" spans="1:24" ht="57" hidden="1" customHeight="1" outlineLevel="1" x14ac:dyDescent="0.25">
      <c r="A206" s="45"/>
      <c r="B206" s="38"/>
      <c r="C206" s="46"/>
      <c r="D206" s="14"/>
      <c r="E206" s="139" t="s">
        <v>283</v>
      </c>
      <c r="F206" s="139"/>
      <c r="G206" s="139"/>
      <c r="H206" s="139"/>
      <c r="I206" s="15" t="s">
        <v>8</v>
      </c>
      <c r="J206" s="6" t="s">
        <v>3</v>
      </c>
      <c r="K206" s="6" t="s">
        <v>2</v>
      </c>
      <c r="L206" s="6" t="s">
        <v>7</v>
      </c>
      <c r="M206" s="19">
        <v>150</v>
      </c>
      <c r="N206" s="19">
        <f>3837.4+219.8</f>
        <v>4057.2000000000003</v>
      </c>
      <c r="O206" s="19">
        <f t="shared" si="56"/>
        <v>4207.2000000000007</v>
      </c>
      <c r="P206" s="19">
        <v>4207.2000000000007</v>
      </c>
      <c r="Q206" s="19">
        <f>615.5+270+1400+477.4+2500+2840.3</f>
        <v>8103.2</v>
      </c>
      <c r="R206" s="19">
        <f t="shared" si="58"/>
        <v>12310.400000000001</v>
      </c>
      <c r="S206" s="19">
        <v>20013.7</v>
      </c>
      <c r="T206" s="19">
        <f>300-0.5</f>
        <v>299.5</v>
      </c>
      <c r="U206" s="109">
        <f t="shared" si="59"/>
        <v>20313.2</v>
      </c>
      <c r="V206" s="9" t="s">
        <v>408</v>
      </c>
      <c r="W206" s="4"/>
    </row>
    <row r="207" spans="1:24" ht="146.25" hidden="1" customHeight="1" outlineLevel="1" x14ac:dyDescent="0.25">
      <c r="A207" s="45"/>
      <c r="B207" s="38"/>
      <c r="C207" s="46"/>
      <c r="D207" s="14"/>
      <c r="E207" s="147" t="s">
        <v>271</v>
      </c>
      <c r="F207" s="139"/>
      <c r="G207" s="139"/>
      <c r="H207" s="139"/>
      <c r="I207" s="15" t="s">
        <v>6</v>
      </c>
      <c r="J207" s="6" t="s">
        <v>3</v>
      </c>
      <c r="K207" s="6" t="s">
        <v>2</v>
      </c>
      <c r="L207" s="6" t="s">
        <v>5</v>
      </c>
      <c r="M207" s="19">
        <v>9875.2999999999993</v>
      </c>
      <c r="N207" s="19"/>
      <c r="O207" s="18">
        <f>SUM(M207:N207)</f>
        <v>9875.2999999999993</v>
      </c>
      <c r="P207" s="19">
        <v>9875.2999999999993</v>
      </c>
      <c r="Q207" s="19">
        <f>1817.3+302+129.5+72.7</f>
        <v>2321.5</v>
      </c>
      <c r="R207" s="18">
        <f t="shared" si="58"/>
        <v>12196.8</v>
      </c>
      <c r="S207" s="19">
        <v>12331.8</v>
      </c>
      <c r="T207" s="19">
        <f>3370-44.7</f>
        <v>3325.3</v>
      </c>
      <c r="U207" s="109">
        <f>SUM(S207:T207)</f>
        <v>15657.099999999999</v>
      </c>
      <c r="V207" s="9" t="s">
        <v>426</v>
      </c>
      <c r="W207" s="4"/>
    </row>
    <row r="208" spans="1:24" ht="23.25" hidden="1" customHeight="1" outlineLevel="1" x14ac:dyDescent="0.25">
      <c r="A208" s="45"/>
      <c r="B208" s="38"/>
      <c r="C208" s="46"/>
      <c r="D208" s="14"/>
      <c r="E208" s="147" t="s">
        <v>284</v>
      </c>
      <c r="F208" s="139"/>
      <c r="G208" s="139"/>
      <c r="H208" s="139"/>
      <c r="I208" s="16" t="s">
        <v>0</v>
      </c>
      <c r="J208" s="7" t="s">
        <v>3</v>
      </c>
      <c r="K208" s="7" t="s">
        <v>2</v>
      </c>
      <c r="L208" s="7" t="s">
        <v>1</v>
      </c>
      <c r="M208" s="18">
        <v>7000</v>
      </c>
      <c r="N208" s="18"/>
      <c r="O208" s="19">
        <f t="shared" si="56"/>
        <v>7000</v>
      </c>
      <c r="P208" s="18">
        <v>7000</v>
      </c>
      <c r="Q208" s="18"/>
      <c r="R208" s="19">
        <f t="shared" si="58"/>
        <v>7000</v>
      </c>
      <c r="S208" s="19">
        <v>0</v>
      </c>
      <c r="T208" s="19"/>
      <c r="U208" s="109">
        <f t="shared" si="59"/>
        <v>0</v>
      </c>
      <c r="V208" s="9"/>
      <c r="W208" s="4"/>
    </row>
    <row r="209" spans="1:23" ht="35.25" hidden="1" customHeight="1" outlineLevel="1" thickBot="1" x14ac:dyDescent="0.3">
      <c r="A209" s="51"/>
      <c r="B209" s="52"/>
      <c r="C209" s="53"/>
      <c r="D209" s="54"/>
      <c r="E209" s="159" t="s">
        <v>295</v>
      </c>
      <c r="F209" s="160"/>
      <c r="G209" s="160"/>
      <c r="H209" s="160"/>
      <c r="I209" s="25"/>
      <c r="J209" s="26" t="s">
        <v>3</v>
      </c>
      <c r="K209" s="26" t="s">
        <v>2</v>
      </c>
      <c r="L209" s="26" t="s">
        <v>296</v>
      </c>
      <c r="M209" s="27">
        <v>0</v>
      </c>
      <c r="N209" s="27"/>
      <c r="O209" s="28">
        <f t="shared" si="56"/>
        <v>0</v>
      </c>
      <c r="P209" s="27">
        <v>0</v>
      </c>
      <c r="Q209" s="27"/>
      <c r="R209" s="28">
        <f t="shared" si="58"/>
        <v>0</v>
      </c>
      <c r="S209" s="28">
        <v>0</v>
      </c>
      <c r="T209" s="28"/>
      <c r="U209" s="109">
        <f t="shared" si="59"/>
        <v>0</v>
      </c>
      <c r="V209" s="29"/>
      <c r="W209" s="4"/>
    </row>
    <row r="210" spans="1:23" ht="25.5" customHeight="1" collapsed="1" thickBot="1" x14ac:dyDescent="0.3">
      <c r="A210" s="12"/>
      <c r="B210" s="13"/>
      <c r="C210" s="13"/>
      <c r="D210" s="5"/>
      <c r="E210" s="171" t="s">
        <v>181</v>
      </c>
      <c r="F210" s="172"/>
      <c r="G210" s="172"/>
      <c r="H210" s="172"/>
      <c r="I210" s="172"/>
      <c r="J210" s="172"/>
      <c r="K210" s="172"/>
      <c r="L210" s="173"/>
      <c r="M210" s="97">
        <f t="shared" ref="M210:R210" si="60">(M9+M17+M22+M29+M41+M46+M59+M61+M63+M77+M81+M94+M99+M108+M125+M127+M130+M140+M151+M175+M177+M188+M202)</f>
        <v>5116037.0999999987</v>
      </c>
      <c r="N210" s="98">
        <f t="shared" si="60"/>
        <v>46159.1</v>
      </c>
      <c r="O210" s="98">
        <f t="shared" si="60"/>
        <v>5162196.1999999993</v>
      </c>
      <c r="P210" s="97">
        <f t="shared" si="60"/>
        <v>5162196.1999999993</v>
      </c>
      <c r="Q210" s="98">
        <f t="shared" si="60"/>
        <v>149755.89999999997</v>
      </c>
      <c r="R210" s="98">
        <f t="shared" si="60"/>
        <v>5311952.0999999996</v>
      </c>
      <c r="S210" s="98">
        <v>5497115.2999999998</v>
      </c>
      <c r="T210" s="98">
        <f>SUM(T9+T17+T22+T29+T41+T46+T59+T61+T63+T77+T81+T94+T99+T108+T125+T127+T130+T140+T151+T175+T177+T188+T202)</f>
        <v>518028.69999999995</v>
      </c>
      <c r="U210" s="98">
        <f>S210+T210</f>
        <v>6015144</v>
      </c>
      <c r="V210" s="99"/>
      <c r="W210" s="4"/>
    </row>
    <row r="211" spans="1:23" ht="12.75" hidden="1" customHeight="1" x14ac:dyDescent="0.25">
      <c r="A211" s="1"/>
      <c r="B211" s="1"/>
      <c r="C211" s="10"/>
      <c r="D211" s="10"/>
      <c r="E211" s="10"/>
      <c r="F211" s="10" t="s">
        <v>291</v>
      </c>
      <c r="G211" s="10"/>
      <c r="H211" s="10"/>
      <c r="I211" s="10"/>
      <c r="J211" s="10"/>
      <c r="K211" s="10"/>
      <c r="L211" s="10"/>
      <c r="M211" s="55"/>
      <c r="N211" s="55"/>
      <c r="O211" s="55"/>
      <c r="P211" s="55"/>
      <c r="Q211" s="55"/>
      <c r="R211" s="55"/>
      <c r="S211" s="55"/>
      <c r="T211" s="55"/>
      <c r="U211" s="55"/>
      <c r="V211" s="34"/>
      <c r="W211" s="34"/>
    </row>
    <row r="212" spans="1:23" hidden="1" x14ac:dyDescent="0.25">
      <c r="L212" s="47"/>
      <c r="T212" s="36">
        <v>188362.1</v>
      </c>
      <c r="U212" s="36">
        <v>5500314.2000000002</v>
      </c>
    </row>
    <row r="213" spans="1:23" hidden="1" x14ac:dyDescent="0.25"/>
    <row r="214" spans="1:23" hidden="1" x14ac:dyDescent="0.25">
      <c r="M214" s="44"/>
      <c r="P214" s="44"/>
      <c r="T214" s="44">
        <f>T210-T212</f>
        <v>329666.59999999998</v>
      </c>
    </row>
    <row r="216" spans="1:23" x14ac:dyDescent="0.25">
      <c r="O216" s="44"/>
      <c r="R216" s="44"/>
      <c r="S216" s="44"/>
      <c r="T216" s="44"/>
      <c r="U216" s="44"/>
    </row>
    <row r="218" spans="1:23" x14ac:dyDescent="0.25">
      <c r="N218" s="44"/>
      <c r="Q218" s="44"/>
    </row>
  </sheetData>
  <mergeCells count="225">
    <mergeCell ref="S5:S7"/>
    <mergeCell ref="T5:T7"/>
    <mergeCell ref="U5:U7"/>
    <mergeCell ref="P5:P7"/>
    <mergeCell ref="Q5:Q7"/>
    <mergeCell ref="R5:R7"/>
    <mergeCell ref="P152:P153"/>
    <mergeCell ref="Q152:Q153"/>
    <mergeCell ref="R152:R153"/>
    <mergeCell ref="K152:K153"/>
    <mergeCell ref="L152:L153"/>
    <mergeCell ref="D114:H114"/>
    <mergeCell ref="E110:H110"/>
    <mergeCell ref="E124:H124"/>
    <mergeCell ref="E111:H111"/>
    <mergeCell ref="E116:H116"/>
    <mergeCell ref="E122:H122"/>
    <mergeCell ref="D141:H141"/>
    <mergeCell ref="E132:H132"/>
    <mergeCell ref="E149:H149"/>
    <mergeCell ref="E137:H137"/>
    <mergeCell ref="E143:H143"/>
    <mergeCell ref="I152:I153"/>
    <mergeCell ref="E112:H112"/>
    <mergeCell ref="E25:H25"/>
    <mergeCell ref="E23:H23"/>
    <mergeCell ref="E24:H24"/>
    <mergeCell ref="E45:H45"/>
    <mergeCell ref="E43:H43"/>
    <mergeCell ref="D61:H61"/>
    <mergeCell ref="E36:H36"/>
    <mergeCell ref="E113:H113"/>
    <mergeCell ref="J152:J153"/>
    <mergeCell ref="E49:H49"/>
    <mergeCell ref="E54:H54"/>
    <mergeCell ref="E56:H56"/>
    <mergeCell ref="D57:H57"/>
    <mergeCell ref="E51:H51"/>
    <mergeCell ref="D100:H100"/>
    <mergeCell ref="E68:H68"/>
    <mergeCell ref="E103:H103"/>
    <mergeCell ref="E66:H66"/>
    <mergeCell ref="D64:H64"/>
    <mergeCell ref="D53:H53"/>
    <mergeCell ref="D94:H94"/>
    <mergeCell ref="E55:H55"/>
    <mergeCell ref="E90:H90"/>
    <mergeCell ref="D82:H82"/>
    <mergeCell ref="N5:N7"/>
    <mergeCell ref="D30:H30"/>
    <mergeCell ref="D41:H41"/>
    <mergeCell ref="E37:H37"/>
    <mergeCell ref="D29:H29"/>
    <mergeCell ref="E27:H27"/>
    <mergeCell ref="E38:H38"/>
    <mergeCell ref="E40:H40"/>
    <mergeCell ref="E31:H31"/>
    <mergeCell ref="D10:H10"/>
    <mergeCell ref="E11:H11"/>
    <mergeCell ref="E13:H13"/>
    <mergeCell ref="E16:H16"/>
    <mergeCell ref="D39:H39"/>
    <mergeCell ref="M5:M7"/>
    <mergeCell ref="D12:H12"/>
    <mergeCell ref="D14:H14"/>
    <mergeCell ref="D5:H7"/>
    <mergeCell ref="D35:H35"/>
    <mergeCell ref="J5:L7"/>
    <mergeCell ref="E19:H19"/>
    <mergeCell ref="E32:H32"/>
    <mergeCell ref="E33:H33"/>
    <mergeCell ref="E34:H34"/>
    <mergeCell ref="E156:H156"/>
    <mergeCell ref="D152:H153"/>
    <mergeCell ref="E147:H147"/>
    <mergeCell ref="E157:H157"/>
    <mergeCell ref="E161:H161"/>
    <mergeCell ref="D148:H148"/>
    <mergeCell ref="E150:H150"/>
    <mergeCell ref="D130:H130"/>
    <mergeCell ref="D131:H131"/>
    <mergeCell ref="E154:H154"/>
    <mergeCell ref="E155:H155"/>
    <mergeCell ref="E158:H158"/>
    <mergeCell ref="E198:H198"/>
    <mergeCell ref="E203:H203"/>
    <mergeCell ref="E204:H204"/>
    <mergeCell ref="E206:H206"/>
    <mergeCell ref="E205:H205"/>
    <mergeCell ref="E164:H164"/>
    <mergeCell ref="E170:H170"/>
    <mergeCell ref="D169:H169"/>
    <mergeCell ref="E166:H166"/>
    <mergeCell ref="D173:H173"/>
    <mergeCell ref="D202:H202"/>
    <mergeCell ref="E195:H195"/>
    <mergeCell ref="E196:H196"/>
    <mergeCell ref="E163:H163"/>
    <mergeCell ref="E159:H159"/>
    <mergeCell ref="E160:H160"/>
    <mergeCell ref="D162:H162"/>
    <mergeCell ref="D175:H175"/>
    <mergeCell ref="E171:H171"/>
    <mergeCell ref="E172:H172"/>
    <mergeCell ref="E165:H165"/>
    <mergeCell ref="E174:H174"/>
    <mergeCell ref="E168:H168"/>
    <mergeCell ref="E210:L210"/>
    <mergeCell ref="E176:H176"/>
    <mergeCell ref="D177:H177"/>
    <mergeCell ref="D197:H197"/>
    <mergeCell ref="E183:H183"/>
    <mergeCell ref="E201:H201"/>
    <mergeCell ref="E208:H208"/>
    <mergeCell ref="E207:H207"/>
    <mergeCell ref="E194:H194"/>
    <mergeCell ref="D182:H182"/>
    <mergeCell ref="E180:H180"/>
    <mergeCell ref="D188:H188"/>
    <mergeCell ref="D189:H189"/>
    <mergeCell ref="E190:H190"/>
    <mergeCell ref="E185:H185"/>
    <mergeCell ref="E187:H187"/>
    <mergeCell ref="E191:H191"/>
    <mergeCell ref="E199:H199"/>
    <mergeCell ref="D184:H184"/>
    <mergeCell ref="D178:H178"/>
    <mergeCell ref="E179:H179"/>
    <mergeCell ref="E192:H192"/>
    <mergeCell ref="E193:H193"/>
    <mergeCell ref="E200:H200"/>
    <mergeCell ref="V152:V153"/>
    <mergeCell ref="N152:N153"/>
    <mergeCell ref="E209:H209"/>
    <mergeCell ref="V5:V7"/>
    <mergeCell ref="D9:H9"/>
    <mergeCell ref="D17:H17"/>
    <mergeCell ref="D22:H22"/>
    <mergeCell ref="E15:H15"/>
    <mergeCell ref="E20:H20"/>
    <mergeCell ref="E21:H21"/>
    <mergeCell ref="I5:I7"/>
    <mergeCell ref="E186:H186"/>
    <mergeCell ref="O5:O7"/>
    <mergeCell ref="E18:H18"/>
    <mergeCell ref="O152:O153"/>
    <mergeCell ref="D108:H108"/>
    <mergeCell ref="E117:H117"/>
    <mergeCell ref="E115:H115"/>
    <mergeCell ref="E62:H62"/>
    <mergeCell ref="D140:H140"/>
    <mergeCell ref="D151:H151"/>
    <mergeCell ref="E135:H135"/>
    <mergeCell ref="E134:H134"/>
    <mergeCell ref="D136:H136"/>
    <mergeCell ref="D106:H106"/>
    <mergeCell ref="E107:H107"/>
    <mergeCell ref="D109:H109"/>
    <mergeCell ref="E89:H89"/>
    <mergeCell ref="D77:H77"/>
    <mergeCell ref="E105:H105"/>
    <mergeCell ref="E101:H101"/>
    <mergeCell ref="E102:H102"/>
    <mergeCell ref="E79:H79"/>
    <mergeCell ref="E48:H48"/>
    <mergeCell ref="E50:H50"/>
    <mergeCell ref="E52:H52"/>
    <mergeCell ref="E60:H60"/>
    <mergeCell ref="E58:H58"/>
    <mergeCell ref="E67:H67"/>
    <mergeCell ref="D127:H127"/>
    <mergeCell ref="D104:H104"/>
    <mergeCell ref="E118:H118"/>
    <mergeCell ref="E74:I74"/>
    <mergeCell ref="E98:H98"/>
    <mergeCell ref="D92:H92"/>
    <mergeCell ref="E120:H120"/>
    <mergeCell ref="D119:H119"/>
    <mergeCell ref="E126:H126"/>
    <mergeCell ref="D121:H121"/>
    <mergeCell ref="E85:H85"/>
    <mergeCell ref="E86:H86"/>
    <mergeCell ref="D84:H84"/>
    <mergeCell ref="D123:H123"/>
    <mergeCell ref="E91:H91"/>
    <mergeCell ref="E93:H93"/>
    <mergeCell ref="D99:H99"/>
    <mergeCell ref="D125:H125"/>
    <mergeCell ref="E71:H71"/>
    <mergeCell ref="D69:H69"/>
    <mergeCell ref="E65:H65"/>
    <mergeCell ref="E88:H88"/>
    <mergeCell ref="D81:H81"/>
    <mergeCell ref="E73:H73"/>
    <mergeCell ref="E95:H95"/>
    <mergeCell ref="E72:H72"/>
    <mergeCell ref="D59:H59"/>
    <mergeCell ref="D63:H63"/>
    <mergeCell ref="E78:H78"/>
    <mergeCell ref="E75:H75"/>
    <mergeCell ref="E76:H76"/>
    <mergeCell ref="E26:H26"/>
    <mergeCell ref="E28:H28"/>
    <mergeCell ref="E167:H167"/>
    <mergeCell ref="E181:H181"/>
    <mergeCell ref="M152:M153"/>
    <mergeCell ref="E70:H70"/>
    <mergeCell ref="D87:H87"/>
    <mergeCell ref="E83:H83"/>
    <mergeCell ref="E97:H97"/>
    <mergeCell ref="E80:H80"/>
    <mergeCell ref="E128:H128"/>
    <mergeCell ref="E96:H96"/>
    <mergeCell ref="D42:H42"/>
    <mergeCell ref="D44:H44"/>
    <mergeCell ref="D146:H146"/>
    <mergeCell ref="E144:H144"/>
    <mergeCell ref="E145:H145"/>
    <mergeCell ref="E142:H142"/>
    <mergeCell ref="E138:H138"/>
    <mergeCell ref="E139:H139"/>
    <mergeCell ref="E133:H133"/>
    <mergeCell ref="D46:H46"/>
    <mergeCell ref="E129:H129"/>
    <mergeCell ref="D47:H47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9" min="3" max="25" man="1"/>
    <brk id="182" min="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8"/>
  <sheetViews>
    <sheetView showGridLines="0" tabSelected="1" topLeftCell="D4" zoomScale="70" zoomScaleNormal="70" zoomScaleSheetLayoutView="100" workbookViewId="0">
      <selection activeCell="AD215" sqref="AD215"/>
    </sheetView>
  </sheetViews>
  <sheetFormatPr defaultColWidth="9.109375" defaultRowHeight="13.2" outlineLevelRow="3" outlineLevelCol="1" x14ac:dyDescent="0.25"/>
  <cols>
    <col min="1" max="1" width="2.88671875" style="36" hidden="1" customWidth="1"/>
    <col min="2" max="2" width="1.5546875" style="36" hidden="1" customWidth="1"/>
    <col min="3" max="3" width="6.109375" style="36" hidden="1" customWidth="1"/>
    <col min="4" max="4" width="0.109375" style="36" customWidth="1"/>
    <col min="5" max="7" width="2.6640625" style="36" customWidth="1"/>
    <col min="8" max="8" width="30.6640625" style="36" customWidth="1"/>
    <col min="9" max="9" width="21.5546875" style="36" hidden="1" customWidth="1"/>
    <col min="10" max="10" width="6.109375" style="36" customWidth="1"/>
    <col min="11" max="12" width="4.88671875" style="36" customWidth="1"/>
    <col min="13" max="15" width="13.44140625" style="36" hidden="1" customWidth="1" outlineLevel="1"/>
    <col min="16" max="16" width="13.44140625" style="36" hidden="1" customWidth="1" outlineLevel="1" collapsed="1"/>
    <col min="17" max="21" width="13.44140625" style="36" hidden="1" customWidth="1" outlineLevel="1"/>
    <col min="22" max="22" width="13" style="36" customWidth="1" collapsed="1"/>
    <col min="23" max="23" width="10.5546875" style="36" customWidth="1"/>
    <col min="24" max="24" width="10.44140625" style="36" customWidth="1"/>
    <col min="25" max="25" width="42.5546875" style="36" customWidth="1"/>
    <col min="26" max="26" width="1" style="36" customWidth="1"/>
    <col min="27" max="27" width="27.5546875" style="36" hidden="1" customWidth="1"/>
    <col min="28" max="252" width="9.109375" style="36" customWidth="1"/>
    <col min="253" max="16384" width="9.109375" style="36"/>
  </cols>
  <sheetData>
    <row r="1" spans="1:26" ht="13.5" customHeight="1" x14ac:dyDescent="0.3">
      <c r="A1" s="34"/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101" t="s">
        <v>455</v>
      </c>
      <c r="Z1" s="34"/>
    </row>
    <row r="2" spans="1:26" ht="13.5" customHeight="1" x14ac:dyDescent="0.3">
      <c r="A2" s="34"/>
      <c r="B2" s="34"/>
      <c r="C2" s="34"/>
      <c r="D2" s="34"/>
      <c r="E2" s="34"/>
      <c r="F2" s="34"/>
      <c r="G2" s="34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101" t="s">
        <v>177</v>
      </c>
      <c r="Z2" s="34"/>
    </row>
    <row r="3" spans="1:26" ht="27.75" customHeight="1" x14ac:dyDescent="0.25">
      <c r="A3" s="34"/>
      <c r="B3" s="34"/>
      <c r="C3" s="4"/>
      <c r="D3" s="4" t="s">
        <v>486</v>
      </c>
      <c r="E3" s="4"/>
      <c r="F3" s="4"/>
      <c r="G3" s="4"/>
      <c r="H3" s="4"/>
      <c r="I3" s="4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4"/>
      <c r="Z3" s="34"/>
    </row>
    <row r="4" spans="1:26" ht="12.75" customHeight="1" thickBot="1" x14ac:dyDescent="0.3">
      <c r="A4" s="34"/>
      <c r="B4" s="34"/>
      <c r="C4" s="4"/>
      <c r="D4" s="4"/>
      <c r="E4" s="4"/>
      <c r="F4" s="4"/>
      <c r="G4" s="4"/>
      <c r="H4" s="4"/>
      <c r="I4" s="4"/>
      <c r="J4" s="34"/>
      <c r="K4" s="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4"/>
      <c r="Z4" s="34"/>
    </row>
    <row r="5" spans="1:26" ht="37.5" customHeight="1" thickBot="1" x14ac:dyDescent="0.3">
      <c r="A5" s="37"/>
      <c r="B5" s="4"/>
      <c r="D5" s="186" t="s">
        <v>337</v>
      </c>
      <c r="E5" s="187"/>
      <c r="F5" s="187"/>
      <c r="G5" s="187"/>
      <c r="H5" s="183"/>
      <c r="I5" s="167" t="s">
        <v>173</v>
      </c>
      <c r="J5" s="194" t="s">
        <v>174</v>
      </c>
      <c r="K5" s="195"/>
      <c r="L5" s="196"/>
      <c r="M5" s="183" t="s">
        <v>368</v>
      </c>
      <c r="N5" s="161" t="s">
        <v>175</v>
      </c>
      <c r="O5" s="168" t="s">
        <v>292</v>
      </c>
      <c r="P5" s="183" t="s">
        <v>374</v>
      </c>
      <c r="Q5" s="161" t="s">
        <v>175</v>
      </c>
      <c r="R5" s="168" t="s">
        <v>292</v>
      </c>
      <c r="S5" s="183" t="s">
        <v>387</v>
      </c>
      <c r="T5" s="161" t="s">
        <v>175</v>
      </c>
      <c r="U5" s="168" t="s">
        <v>292</v>
      </c>
      <c r="V5" s="207" t="s">
        <v>456</v>
      </c>
      <c r="W5" s="161" t="s">
        <v>175</v>
      </c>
      <c r="X5" s="168" t="s">
        <v>292</v>
      </c>
      <c r="Y5" s="161" t="s">
        <v>176</v>
      </c>
      <c r="Z5" s="4"/>
    </row>
    <row r="6" spans="1:26" ht="11.25" customHeight="1" thickBot="1" x14ac:dyDescent="0.3">
      <c r="A6" s="38"/>
      <c r="B6" s="38"/>
      <c r="C6" s="32"/>
      <c r="D6" s="188"/>
      <c r="E6" s="189"/>
      <c r="F6" s="189"/>
      <c r="G6" s="189"/>
      <c r="H6" s="190"/>
      <c r="I6" s="167"/>
      <c r="J6" s="197"/>
      <c r="K6" s="198"/>
      <c r="L6" s="184"/>
      <c r="M6" s="184"/>
      <c r="N6" s="162"/>
      <c r="O6" s="169"/>
      <c r="P6" s="184"/>
      <c r="Q6" s="162"/>
      <c r="R6" s="169"/>
      <c r="S6" s="184"/>
      <c r="T6" s="162"/>
      <c r="U6" s="169"/>
      <c r="V6" s="208"/>
      <c r="W6" s="210"/>
      <c r="X6" s="210"/>
      <c r="Y6" s="162"/>
      <c r="Z6" s="4"/>
    </row>
    <row r="7" spans="1:26" ht="53.25" customHeight="1" thickBot="1" x14ac:dyDescent="0.3">
      <c r="A7" s="38"/>
      <c r="B7" s="38"/>
      <c r="C7" s="33"/>
      <c r="D7" s="191"/>
      <c r="E7" s="192"/>
      <c r="F7" s="192"/>
      <c r="G7" s="192"/>
      <c r="H7" s="193"/>
      <c r="I7" s="167"/>
      <c r="J7" s="199"/>
      <c r="K7" s="200"/>
      <c r="L7" s="185"/>
      <c r="M7" s="185"/>
      <c r="N7" s="163"/>
      <c r="O7" s="170"/>
      <c r="P7" s="185"/>
      <c r="Q7" s="163"/>
      <c r="R7" s="170"/>
      <c r="S7" s="185"/>
      <c r="T7" s="163"/>
      <c r="U7" s="170"/>
      <c r="V7" s="208"/>
      <c r="W7" s="210"/>
      <c r="X7" s="210"/>
      <c r="Y7" s="163"/>
      <c r="Z7" s="4"/>
    </row>
    <row r="8" spans="1:26" ht="12.75" hidden="1" customHeight="1" x14ac:dyDescent="0.25">
      <c r="A8" s="38"/>
      <c r="B8" s="38"/>
      <c r="C8" s="39" t="s">
        <v>23</v>
      </c>
      <c r="D8" s="83"/>
      <c r="E8" s="40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09"/>
      <c r="W8" s="211"/>
      <c r="X8" s="211"/>
      <c r="Y8" s="2"/>
      <c r="Z8" s="4"/>
    </row>
    <row r="9" spans="1:26" ht="32.25" customHeight="1" x14ac:dyDescent="0.25">
      <c r="A9" s="41"/>
      <c r="B9" s="42"/>
      <c r="C9" s="43"/>
      <c r="D9" s="221" t="s">
        <v>309</v>
      </c>
      <c r="E9" s="222"/>
      <c r="F9" s="222"/>
      <c r="G9" s="222"/>
      <c r="H9" s="223"/>
      <c r="I9" s="114" t="s">
        <v>172</v>
      </c>
      <c r="J9" s="115" t="s">
        <v>13</v>
      </c>
      <c r="K9" s="115" t="s">
        <v>4</v>
      </c>
      <c r="L9" s="115" t="s">
        <v>4</v>
      </c>
      <c r="M9" s="116">
        <f>M10+M12+M14</f>
        <v>37492.9</v>
      </c>
      <c r="N9" s="116">
        <f>N10+N12+N14</f>
        <v>0</v>
      </c>
      <c r="O9" s="116">
        <f>O10+O12+O14</f>
        <v>37492.9</v>
      </c>
      <c r="P9" s="116">
        <v>37492.9</v>
      </c>
      <c r="Q9" s="116">
        <f>Q10+Q12+Q14</f>
        <v>1100.8</v>
      </c>
      <c r="R9" s="117">
        <f>SUM(P9:Q9)</f>
        <v>38593.700000000004</v>
      </c>
      <c r="S9" s="117">
        <v>38624.700000000004</v>
      </c>
      <c r="T9" s="117">
        <f>SUM(T10+T12+T14)</f>
        <v>3366.2999999999997</v>
      </c>
      <c r="U9" s="117">
        <f>SUM(S9:T9)</f>
        <v>41991.000000000007</v>
      </c>
      <c r="V9" s="117">
        <v>41991.000000000007</v>
      </c>
      <c r="W9" s="117">
        <f>SUM(W10+W12+W14)</f>
        <v>10</v>
      </c>
      <c r="X9" s="134">
        <f>SUM(V9:W9)</f>
        <v>42001.000000000007</v>
      </c>
      <c r="Y9" s="118"/>
      <c r="Z9" s="4"/>
    </row>
    <row r="10" spans="1:26" ht="51" customHeight="1" x14ac:dyDescent="0.25">
      <c r="A10" s="45"/>
      <c r="B10" s="38"/>
      <c r="C10" s="46"/>
      <c r="D10" s="224" t="s">
        <v>336</v>
      </c>
      <c r="E10" s="139"/>
      <c r="F10" s="139"/>
      <c r="G10" s="139"/>
      <c r="H10" s="139"/>
      <c r="I10" s="15" t="s">
        <v>171</v>
      </c>
      <c r="J10" s="6" t="s">
        <v>13</v>
      </c>
      <c r="K10" s="6" t="s">
        <v>23</v>
      </c>
      <c r="L10" s="6" t="s">
        <v>4</v>
      </c>
      <c r="M10" s="19">
        <f>SUM(M11)</f>
        <v>1500</v>
      </c>
      <c r="N10" s="19">
        <f>SUM(N11)</f>
        <v>0</v>
      </c>
      <c r="O10" s="19">
        <f>SUM(O11)</f>
        <v>1500</v>
      </c>
      <c r="P10" s="19">
        <v>1500</v>
      </c>
      <c r="Q10" s="19">
        <f>SUM(Q11)</f>
        <v>0</v>
      </c>
      <c r="R10" s="19">
        <f>SUM(R11)</f>
        <v>1500</v>
      </c>
      <c r="S10" s="19">
        <v>1632.8</v>
      </c>
      <c r="T10" s="19">
        <f>SUM(T11)</f>
        <v>0</v>
      </c>
      <c r="U10" s="19">
        <f>SUM(U11)</f>
        <v>1632.8</v>
      </c>
      <c r="V10" s="19">
        <v>1632.8</v>
      </c>
      <c r="W10" s="19">
        <f>SUM(W11)</f>
        <v>9</v>
      </c>
      <c r="X10" s="18">
        <f t="shared" ref="X10:X73" si="0">SUM(V10:W10)</f>
        <v>1641.8</v>
      </c>
      <c r="Y10" s="9" t="s">
        <v>461</v>
      </c>
      <c r="Z10" s="4"/>
    </row>
    <row r="11" spans="1:26" ht="32.25" hidden="1" customHeight="1" outlineLevel="1" x14ac:dyDescent="0.25">
      <c r="A11" s="45"/>
      <c r="B11" s="38"/>
      <c r="C11" s="46"/>
      <c r="D11" s="14"/>
      <c r="E11" s="147" t="s">
        <v>182</v>
      </c>
      <c r="F11" s="139"/>
      <c r="G11" s="139"/>
      <c r="H11" s="139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19">
        <v>1500</v>
      </c>
      <c r="Q11" s="19"/>
      <c r="R11" s="19">
        <f>SUM(P11:Q11)</f>
        <v>1500</v>
      </c>
      <c r="S11" s="19">
        <v>1632.8</v>
      </c>
      <c r="T11" s="19"/>
      <c r="U11" s="19">
        <f>SUM(S11:T11)</f>
        <v>1632.8</v>
      </c>
      <c r="V11" s="19">
        <v>1632.8</v>
      </c>
      <c r="W11" s="19">
        <v>9</v>
      </c>
      <c r="X11" s="18">
        <f t="shared" si="0"/>
        <v>1641.8</v>
      </c>
      <c r="Y11" s="9" t="s">
        <v>461</v>
      </c>
      <c r="Z11" s="4"/>
    </row>
    <row r="12" spans="1:26" ht="42.6" customHeight="1" collapsed="1" x14ac:dyDescent="0.25">
      <c r="A12" s="45"/>
      <c r="B12" s="38"/>
      <c r="C12" s="46"/>
      <c r="D12" s="224" t="s">
        <v>318</v>
      </c>
      <c r="E12" s="139"/>
      <c r="F12" s="139"/>
      <c r="G12" s="139"/>
      <c r="H12" s="139"/>
      <c r="I12" s="15" t="s">
        <v>170</v>
      </c>
      <c r="J12" s="6" t="s">
        <v>13</v>
      </c>
      <c r="K12" s="6" t="s">
        <v>18</v>
      </c>
      <c r="L12" s="6" t="s">
        <v>4</v>
      </c>
      <c r="M12" s="19">
        <f t="shared" ref="M12:R12" si="1">M13</f>
        <v>300</v>
      </c>
      <c r="N12" s="19">
        <f t="shared" si="1"/>
        <v>0</v>
      </c>
      <c r="O12" s="19">
        <f t="shared" si="1"/>
        <v>300</v>
      </c>
      <c r="P12" s="19">
        <v>300</v>
      </c>
      <c r="Q12" s="19">
        <f t="shared" si="1"/>
        <v>0</v>
      </c>
      <c r="R12" s="19">
        <f t="shared" si="1"/>
        <v>300</v>
      </c>
      <c r="S12" s="19">
        <v>167.2</v>
      </c>
      <c r="T12" s="19">
        <f>SUM(T13)</f>
        <v>0</v>
      </c>
      <c r="U12" s="19">
        <f t="shared" ref="U12" si="2">U13</f>
        <v>167.2</v>
      </c>
      <c r="V12" s="19">
        <v>167.2</v>
      </c>
      <c r="W12" s="19">
        <f>SUM(W13)</f>
        <v>-9</v>
      </c>
      <c r="X12" s="18">
        <f t="shared" si="0"/>
        <v>158.19999999999999</v>
      </c>
      <c r="Y12" s="9" t="s">
        <v>462</v>
      </c>
      <c r="Z12" s="4"/>
    </row>
    <row r="13" spans="1:26" ht="38.25" hidden="1" customHeight="1" outlineLevel="1" x14ac:dyDescent="0.25">
      <c r="A13" s="45"/>
      <c r="B13" s="38"/>
      <c r="C13" s="46"/>
      <c r="D13" s="14"/>
      <c r="E13" s="139" t="s">
        <v>349</v>
      </c>
      <c r="F13" s="139"/>
      <c r="G13" s="139"/>
      <c r="H13" s="139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19">
        <v>300</v>
      </c>
      <c r="Q13" s="19"/>
      <c r="R13" s="19">
        <f>SUM(P13:Q13)</f>
        <v>300</v>
      </c>
      <c r="S13" s="19">
        <v>167.2</v>
      </c>
      <c r="T13" s="19"/>
      <c r="U13" s="19">
        <f>SUM(S13:T13)</f>
        <v>167.2</v>
      </c>
      <c r="V13" s="19">
        <v>167.2</v>
      </c>
      <c r="W13" s="19">
        <v>-9</v>
      </c>
      <c r="X13" s="18">
        <f t="shared" si="0"/>
        <v>158.19999999999999</v>
      </c>
      <c r="Y13" s="9" t="s">
        <v>462</v>
      </c>
      <c r="Z13" s="4"/>
    </row>
    <row r="14" spans="1:26" ht="63.75" customHeight="1" collapsed="1" x14ac:dyDescent="0.25">
      <c r="A14" s="45"/>
      <c r="B14" s="38"/>
      <c r="C14" s="46"/>
      <c r="D14" s="217" t="s">
        <v>183</v>
      </c>
      <c r="E14" s="139"/>
      <c r="F14" s="139"/>
      <c r="G14" s="139"/>
      <c r="H14" s="139"/>
      <c r="I14" s="15" t="s">
        <v>169</v>
      </c>
      <c r="J14" s="6" t="s">
        <v>13</v>
      </c>
      <c r="K14" s="6" t="s">
        <v>27</v>
      </c>
      <c r="L14" s="6" t="s">
        <v>4</v>
      </c>
      <c r="M14" s="19">
        <f>M15+M16</f>
        <v>35692.9</v>
      </c>
      <c r="N14" s="19">
        <f>N15+N16</f>
        <v>0</v>
      </c>
      <c r="O14" s="19">
        <f>O15+O16</f>
        <v>35692.9</v>
      </c>
      <c r="P14" s="19">
        <v>35692.9</v>
      </c>
      <c r="Q14" s="19">
        <f>Q15+Q16</f>
        <v>1100.8</v>
      </c>
      <c r="R14" s="19">
        <f>R15+R16</f>
        <v>36793.700000000004</v>
      </c>
      <c r="S14" s="19">
        <v>36824.700000000004</v>
      </c>
      <c r="T14" s="19">
        <f>SUM(T15+T16)</f>
        <v>3366.2999999999997</v>
      </c>
      <c r="U14" s="19">
        <f>U15+U16</f>
        <v>40191.000000000007</v>
      </c>
      <c r="V14" s="19">
        <v>40191.000000000007</v>
      </c>
      <c r="W14" s="19">
        <f>SUM(W15+W16)</f>
        <v>10</v>
      </c>
      <c r="X14" s="18">
        <f t="shared" si="0"/>
        <v>40201.000000000007</v>
      </c>
      <c r="Y14" s="9" t="s">
        <v>472</v>
      </c>
      <c r="Z14" s="4"/>
    </row>
    <row r="15" spans="1:26" ht="64.5" hidden="1" customHeight="1" outlineLevel="1" x14ac:dyDescent="0.25">
      <c r="A15" s="45"/>
      <c r="B15" s="38"/>
      <c r="C15" s="46"/>
      <c r="D15" s="14"/>
      <c r="E15" s="147" t="s">
        <v>184</v>
      </c>
      <c r="F15" s="139"/>
      <c r="G15" s="139"/>
      <c r="H15" s="139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3">SUM(M15:N15)</f>
        <v>35392.9</v>
      </c>
      <c r="P15" s="19">
        <v>35392.9</v>
      </c>
      <c r="Q15" s="19">
        <v>1100.8</v>
      </c>
      <c r="R15" s="19">
        <f t="shared" ref="R15:R22" si="4">SUM(P15:Q15)</f>
        <v>36493.700000000004</v>
      </c>
      <c r="S15" s="19">
        <v>36524.700000000004</v>
      </c>
      <c r="T15" s="19">
        <f>1268.1+2098.2</f>
        <v>3366.2999999999997</v>
      </c>
      <c r="U15" s="19">
        <f t="shared" ref="U15:U22" si="5">SUM(S15:T15)</f>
        <v>39891.000000000007</v>
      </c>
      <c r="V15" s="19">
        <v>39891.000000000007</v>
      </c>
      <c r="W15" s="19">
        <v>10</v>
      </c>
      <c r="X15" s="18">
        <f t="shared" si="0"/>
        <v>39901.000000000007</v>
      </c>
      <c r="Y15" s="9" t="s">
        <v>472</v>
      </c>
      <c r="Z15" s="4"/>
    </row>
    <row r="16" spans="1:26" ht="40.5" hidden="1" customHeight="1" outlineLevel="1" x14ac:dyDescent="0.25">
      <c r="A16" s="45"/>
      <c r="B16" s="38"/>
      <c r="C16" s="46"/>
      <c r="D16" s="14"/>
      <c r="E16" s="147" t="s">
        <v>185</v>
      </c>
      <c r="F16" s="139"/>
      <c r="G16" s="139"/>
      <c r="H16" s="139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3"/>
        <v>300</v>
      </c>
      <c r="P16" s="19">
        <v>300</v>
      </c>
      <c r="Q16" s="19"/>
      <c r="R16" s="19">
        <f t="shared" si="4"/>
        <v>300</v>
      </c>
      <c r="S16" s="19">
        <v>300</v>
      </c>
      <c r="T16" s="19"/>
      <c r="U16" s="19">
        <f t="shared" si="5"/>
        <v>300</v>
      </c>
      <c r="V16" s="19">
        <v>300</v>
      </c>
      <c r="W16" s="19"/>
      <c r="X16" s="18">
        <f t="shared" si="0"/>
        <v>300</v>
      </c>
      <c r="Y16" s="9"/>
      <c r="Z16" s="4"/>
    </row>
    <row r="17" spans="1:26" ht="43.5" customHeight="1" collapsed="1" x14ac:dyDescent="0.25">
      <c r="A17" s="45"/>
      <c r="B17" s="4"/>
      <c r="C17" s="47"/>
      <c r="D17" s="218" t="s">
        <v>310</v>
      </c>
      <c r="E17" s="219"/>
      <c r="F17" s="219"/>
      <c r="G17" s="219"/>
      <c r="H17" s="220"/>
      <c r="I17" s="119" t="s">
        <v>166</v>
      </c>
      <c r="J17" s="120" t="s">
        <v>11</v>
      </c>
      <c r="K17" s="120" t="s">
        <v>4</v>
      </c>
      <c r="L17" s="120" t="s">
        <v>4</v>
      </c>
      <c r="M17" s="106">
        <f>M18+M19+M20+M21</f>
        <v>2339.1999999999998</v>
      </c>
      <c r="N17" s="108">
        <f>SUM(N18+N19+N20+N21)</f>
        <v>0</v>
      </c>
      <c r="O17" s="106">
        <f t="shared" si="3"/>
        <v>2339.1999999999998</v>
      </c>
      <c r="P17" s="106">
        <f>P18+P19+P20+P21</f>
        <v>2339.1999999999998</v>
      </c>
      <c r="Q17" s="108">
        <f>SUM(Q18+Q19+Q20+Q21)</f>
        <v>24.3</v>
      </c>
      <c r="R17" s="106">
        <f t="shared" si="4"/>
        <v>2363.5</v>
      </c>
      <c r="S17" s="106">
        <v>2363.5</v>
      </c>
      <c r="T17" s="106">
        <f>SUM(T18+T19+T20+T21)</f>
        <v>-100</v>
      </c>
      <c r="U17" s="106">
        <f t="shared" si="5"/>
        <v>2263.5</v>
      </c>
      <c r="V17" s="106">
        <v>2263.5</v>
      </c>
      <c r="W17" s="106">
        <f>SUM(W18+W19+W20+W21)</f>
        <v>-3.8</v>
      </c>
      <c r="X17" s="110">
        <f t="shared" si="0"/>
        <v>2259.6999999999998</v>
      </c>
      <c r="Y17" s="9" t="s">
        <v>485</v>
      </c>
      <c r="Z17" s="4"/>
    </row>
    <row r="18" spans="1:26" ht="39.75" hidden="1" customHeight="1" outlineLevel="1" x14ac:dyDescent="0.25">
      <c r="A18" s="45"/>
      <c r="B18" s="38"/>
      <c r="C18" s="46"/>
      <c r="D18" s="14"/>
      <c r="E18" s="139" t="s">
        <v>319</v>
      </c>
      <c r="F18" s="139"/>
      <c r="G18" s="139"/>
      <c r="H18" s="139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3"/>
        <v>1929.2</v>
      </c>
      <c r="P18" s="19">
        <v>1929.2</v>
      </c>
      <c r="Q18" s="19"/>
      <c r="R18" s="19">
        <f t="shared" si="4"/>
        <v>1929.2</v>
      </c>
      <c r="S18" s="19">
        <v>1925.3</v>
      </c>
      <c r="T18" s="19">
        <v>-100</v>
      </c>
      <c r="U18" s="19">
        <f t="shared" si="5"/>
        <v>1825.3</v>
      </c>
      <c r="V18" s="19">
        <v>1825.3</v>
      </c>
      <c r="W18" s="19"/>
      <c r="X18" s="18">
        <f t="shared" si="0"/>
        <v>1825.3</v>
      </c>
      <c r="Y18" s="9"/>
      <c r="Z18" s="4"/>
    </row>
    <row r="19" spans="1:26" ht="32.25" hidden="1" customHeight="1" outlineLevel="1" x14ac:dyDescent="0.25">
      <c r="A19" s="45"/>
      <c r="B19" s="38"/>
      <c r="C19" s="46"/>
      <c r="D19" s="14"/>
      <c r="E19" s="147" t="s">
        <v>186</v>
      </c>
      <c r="F19" s="139"/>
      <c r="G19" s="139"/>
      <c r="H19" s="139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3"/>
        <v>0</v>
      </c>
      <c r="P19" s="19">
        <v>0</v>
      </c>
      <c r="Q19" s="19"/>
      <c r="R19" s="19">
        <f t="shared" si="4"/>
        <v>0</v>
      </c>
      <c r="S19" s="19">
        <v>0</v>
      </c>
      <c r="T19" s="19"/>
      <c r="U19" s="19">
        <f t="shared" si="5"/>
        <v>0</v>
      </c>
      <c r="V19" s="19">
        <v>0</v>
      </c>
      <c r="W19" s="19"/>
      <c r="X19" s="18">
        <f t="shared" si="0"/>
        <v>0</v>
      </c>
      <c r="Y19" s="9"/>
      <c r="Z19" s="4"/>
    </row>
    <row r="20" spans="1:26" ht="39" hidden="1" customHeight="1" outlineLevel="1" x14ac:dyDescent="0.25">
      <c r="A20" s="45"/>
      <c r="B20" s="38"/>
      <c r="C20" s="46"/>
      <c r="D20" s="14"/>
      <c r="E20" s="147" t="s">
        <v>187</v>
      </c>
      <c r="F20" s="139"/>
      <c r="G20" s="139"/>
      <c r="H20" s="139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3"/>
        <v>400</v>
      </c>
      <c r="P20" s="19">
        <v>400</v>
      </c>
      <c r="Q20" s="19">
        <v>24.3</v>
      </c>
      <c r="R20" s="19">
        <f t="shared" si="4"/>
        <v>424.3</v>
      </c>
      <c r="S20" s="19">
        <v>428.2</v>
      </c>
      <c r="T20" s="19"/>
      <c r="U20" s="19">
        <f t="shared" si="5"/>
        <v>428.2</v>
      </c>
      <c r="V20" s="19">
        <v>428.2</v>
      </c>
      <c r="W20" s="19">
        <v>-3.8</v>
      </c>
      <c r="X20" s="18">
        <f t="shared" si="0"/>
        <v>424.4</v>
      </c>
      <c r="Y20" s="9" t="s">
        <v>479</v>
      </c>
      <c r="Z20" s="4"/>
    </row>
    <row r="21" spans="1:26" ht="33.75" hidden="1" customHeight="1" outlineLevel="1" x14ac:dyDescent="0.25">
      <c r="A21" s="45"/>
      <c r="B21" s="38"/>
      <c r="C21" s="46"/>
      <c r="D21" s="14"/>
      <c r="E21" s="139" t="s">
        <v>320</v>
      </c>
      <c r="F21" s="139"/>
      <c r="G21" s="139"/>
      <c r="H21" s="139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3"/>
        <v>10</v>
      </c>
      <c r="P21" s="19">
        <v>10</v>
      </c>
      <c r="Q21" s="19"/>
      <c r="R21" s="19">
        <f t="shared" si="4"/>
        <v>10</v>
      </c>
      <c r="S21" s="19">
        <v>10</v>
      </c>
      <c r="T21" s="19"/>
      <c r="U21" s="19">
        <f t="shared" si="5"/>
        <v>10</v>
      </c>
      <c r="V21" s="19">
        <v>10</v>
      </c>
      <c r="W21" s="19"/>
      <c r="X21" s="18">
        <f t="shared" si="0"/>
        <v>10</v>
      </c>
      <c r="Y21" s="9"/>
      <c r="Z21" s="4"/>
    </row>
    <row r="22" spans="1:26" ht="36.75" customHeight="1" collapsed="1" x14ac:dyDescent="0.25">
      <c r="A22" s="45"/>
      <c r="B22" s="4"/>
      <c r="C22" s="47"/>
      <c r="D22" s="218" t="s">
        <v>311</v>
      </c>
      <c r="E22" s="219"/>
      <c r="F22" s="219"/>
      <c r="G22" s="219"/>
      <c r="H22" s="220"/>
      <c r="I22" s="119" t="s">
        <v>161</v>
      </c>
      <c r="J22" s="120" t="s">
        <v>26</v>
      </c>
      <c r="K22" s="120" t="s">
        <v>4</v>
      </c>
      <c r="L22" s="120" t="s">
        <v>4</v>
      </c>
      <c r="M22" s="108">
        <f>SUM(M23+M26)</f>
        <v>10090.4</v>
      </c>
      <c r="N22" s="108">
        <f>SUM(N23+N26)</f>
        <v>0</v>
      </c>
      <c r="O22" s="106">
        <f t="shared" si="3"/>
        <v>10090.4</v>
      </c>
      <c r="P22" s="108">
        <f>SUM(P23+P26)</f>
        <v>10090.4</v>
      </c>
      <c r="Q22" s="108">
        <f>SUM(Q23+Q26)</f>
        <v>0</v>
      </c>
      <c r="R22" s="106">
        <f t="shared" si="4"/>
        <v>10090.4</v>
      </c>
      <c r="S22" s="106">
        <v>10129.9</v>
      </c>
      <c r="T22" s="106">
        <f>SUM(T23+T26)</f>
        <v>3223.7</v>
      </c>
      <c r="U22" s="106">
        <f t="shared" si="5"/>
        <v>13353.599999999999</v>
      </c>
      <c r="V22" s="106">
        <v>13353.599999999999</v>
      </c>
      <c r="W22" s="106">
        <f>SUM(W23+W26)</f>
        <v>0</v>
      </c>
      <c r="X22" s="110">
        <f t="shared" si="0"/>
        <v>13353.599999999999</v>
      </c>
      <c r="Y22" s="9"/>
      <c r="Z22" s="4"/>
    </row>
    <row r="23" spans="1:26" ht="33" customHeight="1" x14ac:dyDescent="0.25">
      <c r="A23" s="45"/>
      <c r="B23" s="38"/>
      <c r="C23" s="46"/>
      <c r="D23" s="14"/>
      <c r="E23" s="139" t="s">
        <v>369</v>
      </c>
      <c r="F23" s="139"/>
      <c r="G23" s="139"/>
      <c r="H23" s="139"/>
      <c r="I23" s="15" t="s">
        <v>160</v>
      </c>
      <c r="J23" s="6" t="s">
        <v>26</v>
      </c>
      <c r="K23" s="6">
        <v>1</v>
      </c>
      <c r="L23" s="6"/>
      <c r="M23" s="19">
        <f>SUM(M24+M25)</f>
        <v>3169</v>
      </c>
      <c r="N23" s="19">
        <f>SUM(N24+N25)</f>
        <v>0</v>
      </c>
      <c r="O23" s="19">
        <f>SUM(M23:N23)</f>
        <v>3169</v>
      </c>
      <c r="P23" s="19">
        <f>SUM(P24+P25)</f>
        <v>3169</v>
      </c>
      <c r="Q23" s="19">
        <f>SUM(Q24+Q25)</f>
        <v>0</v>
      </c>
      <c r="R23" s="19">
        <f t="shared" ref="R23:R29" si="6">SUM(P23:Q23)</f>
        <v>3169</v>
      </c>
      <c r="S23" s="19">
        <v>3208.5</v>
      </c>
      <c r="T23" s="19">
        <f>SUM(T24+T25)</f>
        <v>749.3</v>
      </c>
      <c r="U23" s="19">
        <f>SUM(S23:T23)</f>
        <v>3957.8</v>
      </c>
      <c r="V23" s="19">
        <v>3957.8</v>
      </c>
      <c r="W23" s="19">
        <f>SUM(W24+W25)</f>
        <v>0</v>
      </c>
      <c r="X23" s="18">
        <f t="shared" si="0"/>
        <v>3957.8</v>
      </c>
      <c r="Y23" s="9"/>
      <c r="Z23" s="4"/>
    </row>
    <row r="24" spans="1:26" ht="33" hidden="1" customHeight="1" outlineLevel="1" x14ac:dyDescent="0.25">
      <c r="A24" s="45"/>
      <c r="B24" s="38"/>
      <c r="C24" s="46"/>
      <c r="D24" s="14"/>
      <c r="E24" s="139" t="s">
        <v>366</v>
      </c>
      <c r="F24" s="139"/>
      <c r="G24" s="139"/>
      <c r="H24" s="139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>SUM(M24:N24)</f>
        <v>325.10000000000002</v>
      </c>
      <c r="P24" s="19">
        <v>325.10000000000002</v>
      </c>
      <c r="Q24" s="19"/>
      <c r="R24" s="19">
        <f t="shared" si="6"/>
        <v>325.10000000000002</v>
      </c>
      <c r="S24" s="19">
        <v>325.10000000000002</v>
      </c>
      <c r="T24" s="19"/>
      <c r="U24" s="19">
        <f t="shared" ref="U24:U25" si="7">SUM(S24:T24)</f>
        <v>325.10000000000002</v>
      </c>
      <c r="V24" s="19">
        <v>325.10000000000002</v>
      </c>
      <c r="W24" s="19"/>
      <c r="X24" s="18">
        <f t="shared" si="0"/>
        <v>325.10000000000002</v>
      </c>
      <c r="Y24" s="9"/>
      <c r="Z24" s="4"/>
    </row>
    <row r="25" spans="1:26" ht="33" hidden="1" customHeight="1" outlineLevel="1" x14ac:dyDescent="0.25">
      <c r="A25" s="45"/>
      <c r="B25" s="38"/>
      <c r="C25" s="46"/>
      <c r="D25" s="14"/>
      <c r="E25" s="149" t="s">
        <v>355</v>
      </c>
      <c r="F25" s="149"/>
      <c r="G25" s="149"/>
      <c r="H25" s="150"/>
      <c r="I25" s="15" t="s">
        <v>160</v>
      </c>
      <c r="J25" s="6" t="s">
        <v>26</v>
      </c>
      <c r="K25" s="6">
        <v>1</v>
      </c>
      <c r="L25" s="11" t="s">
        <v>356</v>
      </c>
      <c r="M25" s="19">
        <v>2843.9</v>
      </c>
      <c r="N25" s="19"/>
      <c r="O25" s="19">
        <f t="shared" ref="O25:O31" si="8">SUM(M25:N25)</f>
        <v>2843.9</v>
      </c>
      <c r="P25" s="19">
        <v>2843.9</v>
      </c>
      <c r="Q25" s="19"/>
      <c r="R25" s="19">
        <f t="shared" si="6"/>
        <v>2843.9</v>
      </c>
      <c r="S25" s="19">
        <v>2883.4</v>
      </c>
      <c r="T25" s="19">
        <v>749.3</v>
      </c>
      <c r="U25" s="19">
        <f t="shared" si="7"/>
        <v>3632.7</v>
      </c>
      <c r="V25" s="19">
        <v>3632.7</v>
      </c>
      <c r="W25" s="19"/>
      <c r="X25" s="18">
        <f t="shared" si="0"/>
        <v>3632.7</v>
      </c>
      <c r="Y25" s="9"/>
      <c r="Z25" s="4"/>
    </row>
    <row r="26" spans="1:26" ht="51" customHeight="1" collapsed="1" x14ac:dyDescent="0.25">
      <c r="A26" s="45"/>
      <c r="B26" s="38"/>
      <c r="C26" s="46"/>
      <c r="D26" s="14"/>
      <c r="E26" s="139" t="s">
        <v>370</v>
      </c>
      <c r="F26" s="139"/>
      <c r="G26" s="139"/>
      <c r="H26" s="139"/>
      <c r="I26" s="15" t="s">
        <v>160</v>
      </c>
      <c r="J26" s="6" t="s">
        <v>26</v>
      </c>
      <c r="K26" s="6">
        <v>2</v>
      </c>
      <c r="L26" s="6"/>
      <c r="M26" s="19">
        <f>SUM(M27+M28)</f>
        <v>6921.4</v>
      </c>
      <c r="N26" s="19">
        <f>SUM(N27+N28)</f>
        <v>0</v>
      </c>
      <c r="O26" s="19">
        <f t="shared" si="8"/>
        <v>6921.4</v>
      </c>
      <c r="P26" s="19">
        <f>SUM(P27+P28)</f>
        <v>6921.4</v>
      </c>
      <c r="Q26" s="19">
        <f>SUM(Q27+Q28)</f>
        <v>0</v>
      </c>
      <c r="R26" s="19">
        <f t="shared" si="6"/>
        <v>6921.4</v>
      </c>
      <c r="S26" s="19">
        <v>6921.4</v>
      </c>
      <c r="T26" s="19">
        <f>SUM(T27+T28)</f>
        <v>2474.4</v>
      </c>
      <c r="U26" s="19">
        <f>SUM(S26:T26)</f>
        <v>9395.7999999999993</v>
      </c>
      <c r="V26" s="19">
        <v>9395.7999999999993</v>
      </c>
      <c r="W26" s="19">
        <f>SUM(W27+W28)</f>
        <v>0</v>
      </c>
      <c r="X26" s="18">
        <f t="shared" si="0"/>
        <v>9395.7999999999993</v>
      </c>
      <c r="Y26" s="9"/>
      <c r="Z26" s="4"/>
    </row>
    <row r="27" spans="1:26" ht="23.25" hidden="1" customHeight="1" outlineLevel="1" x14ac:dyDescent="0.25">
      <c r="A27" s="45"/>
      <c r="B27" s="38"/>
      <c r="C27" s="46"/>
      <c r="D27" s="14"/>
      <c r="E27" s="139" t="s">
        <v>371</v>
      </c>
      <c r="F27" s="139"/>
      <c r="G27" s="139"/>
      <c r="H27" s="139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8"/>
        <v>111.4</v>
      </c>
      <c r="P27" s="19">
        <v>111.4</v>
      </c>
      <c r="Q27" s="19"/>
      <c r="R27" s="19">
        <f t="shared" si="6"/>
        <v>111.4</v>
      </c>
      <c r="S27" s="19">
        <v>111.4</v>
      </c>
      <c r="T27" s="19">
        <v>-41.4</v>
      </c>
      <c r="U27" s="19">
        <f t="shared" ref="U27:U28" si="9">SUM(S27:T27)</f>
        <v>70</v>
      </c>
      <c r="V27" s="19">
        <v>70</v>
      </c>
      <c r="W27" s="19"/>
      <c r="X27" s="18">
        <f t="shared" si="0"/>
        <v>70</v>
      </c>
      <c r="Y27" s="9"/>
      <c r="Z27" s="4"/>
    </row>
    <row r="28" spans="1:26" ht="30.75" hidden="1" customHeight="1" outlineLevel="1" x14ac:dyDescent="0.25">
      <c r="A28" s="45" t="s">
        <v>375</v>
      </c>
      <c r="B28" s="38"/>
      <c r="C28" s="46"/>
      <c r="D28" s="14"/>
      <c r="E28" s="139" t="s">
        <v>375</v>
      </c>
      <c r="F28" s="139"/>
      <c r="G28" s="139"/>
      <c r="H28" s="139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>SUM(M28:N28)</f>
        <v>6810</v>
      </c>
      <c r="P28" s="19">
        <v>6810</v>
      </c>
      <c r="Q28" s="19"/>
      <c r="R28" s="19">
        <f t="shared" si="6"/>
        <v>6810</v>
      </c>
      <c r="S28" s="19">
        <v>6810</v>
      </c>
      <c r="T28" s="19">
        <v>2515.8000000000002</v>
      </c>
      <c r="U28" s="19">
        <f t="shared" si="9"/>
        <v>9325.7999999999993</v>
      </c>
      <c r="V28" s="19">
        <v>9325.7999999999993</v>
      </c>
      <c r="W28" s="19"/>
      <c r="X28" s="18">
        <f t="shared" si="0"/>
        <v>9325.7999999999993</v>
      </c>
      <c r="Y28" s="9"/>
      <c r="Z28" s="4"/>
    </row>
    <row r="29" spans="1:26" ht="34.799999999999997" customHeight="1" collapsed="1" x14ac:dyDescent="0.25">
      <c r="A29" s="45"/>
      <c r="B29" s="4"/>
      <c r="C29" s="47"/>
      <c r="D29" s="218" t="s">
        <v>298</v>
      </c>
      <c r="E29" s="219"/>
      <c r="F29" s="219"/>
      <c r="G29" s="219"/>
      <c r="H29" s="220"/>
      <c r="I29" s="119" t="s">
        <v>157</v>
      </c>
      <c r="J29" s="120" t="s">
        <v>10</v>
      </c>
      <c r="K29" s="120" t="s">
        <v>4</v>
      </c>
      <c r="L29" s="120" t="s">
        <v>4</v>
      </c>
      <c r="M29" s="108">
        <f>M30+M35+M39</f>
        <v>5030</v>
      </c>
      <c r="N29" s="108">
        <f>N30+N35+N39</f>
        <v>0</v>
      </c>
      <c r="O29" s="106">
        <f t="shared" si="8"/>
        <v>5030</v>
      </c>
      <c r="P29" s="108">
        <f>P30+P35+P39</f>
        <v>5030</v>
      </c>
      <c r="Q29" s="108">
        <f>Q30+Q35+Q39</f>
        <v>0</v>
      </c>
      <c r="R29" s="106">
        <f t="shared" si="6"/>
        <v>5030</v>
      </c>
      <c r="S29" s="106">
        <v>5095</v>
      </c>
      <c r="T29" s="106">
        <f>SUM(T30+T35+T39)</f>
        <v>0</v>
      </c>
      <c r="U29" s="106">
        <f t="shared" ref="U29:U36" si="10">SUM(S29:T29)</f>
        <v>5095</v>
      </c>
      <c r="V29" s="106">
        <v>5095</v>
      </c>
      <c r="W29" s="106">
        <f>SUM(W30+W35+W39)</f>
        <v>0</v>
      </c>
      <c r="X29" s="110">
        <f t="shared" si="0"/>
        <v>5095</v>
      </c>
      <c r="Y29" s="121"/>
      <c r="Z29" s="4"/>
    </row>
    <row r="30" spans="1:26" ht="67.5" customHeight="1" x14ac:dyDescent="0.25">
      <c r="A30" s="45"/>
      <c r="B30" s="38"/>
      <c r="C30" s="46"/>
      <c r="D30" s="217" t="s">
        <v>188</v>
      </c>
      <c r="E30" s="139"/>
      <c r="F30" s="139"/>
      <c r="G30" s="139"/>
      <c r="H30" s="139"/>
      <c r="I30" s="15" t="s">
        <v>156</v>
      </c>
      <c r="J30" s="6" t="s">
        <v>10</v>
      </c>
      <c r="K30" s="6" t="s">
        <v>23</v>
      </c>
      <c r="L30" s="6" t="s">
        <v>4</v>
      </c>
      <c r="M30" s="19">
        <f t="shared" ref="M30:R30" si="11">M31</f>
        <v>4500</v>
      </c>
      <c r="N30" s="19">
        <f t="shared" si="11"/>
        <v>0</v>
      </c>
      <c r="O30" s="19">
        <f t="shared" si="11"/>
        <v>4500</v>
      </c>
      <c r="P30" s="19">
        <f t="shared" si="11"/>
        <v>4500</v>
      </c>
      <c r="Q30" s="19">
        <f t="shared" si="11"/>
        <v>0</v>
      </c>
      <c r="R30" s="19">
        <f t="shared" si="11"/>
        <v>4500</v>
      </c>
      <c r="S30" s="19">
        <v>4565</v>
      </c>
      <c r="T30" s="19">
        <f>SUM(T31:T34)</f>
        <v>20</v>
      </c>
      <c r="U30" s="19">
        <f t="shared" si="10"/>
        <v>4585</v>
      </c>
      <c r="V30" s="19">
        <v>4585</v>
      </c>
      <c r="W30" s="19">
        <f>SUM(W31:W34)</f>
        <v>0</v>
      </c>
      <c r="X30" s="18">
        <f t="shared" si="0"/>
        <v>4585</v>
      </c>
      <c r="Y30" s="9"/>
      <c r="Z30" s="4"/>
    </row>
    <row r="31" spans="1:26" ht="39" hidden="1" customHeight="1" outlineLevel="1" x14ac:dyDescent="0.25">
      <c r="A31" s="45"/>
      <c r="B31" s="38"/>
      <c r="C31" s="46"/>
      <c r="D31" s="14"/>
      <c r="E31" s="147" t="s">
        <v>289</v>
      </c>
      <c r="F31" s="139"/>
      <c r="G31" s="139"/>
      <c r="H31" s="139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8"/>
        <v>4500</v>
      </c>
      <c r="P31" s="19">
        <v>4500</v>
      </c>
      <c r="Q31" s="19"/>
      <c r="R31" s="19">
        <f>SUM(P31:Q31)</f>
        <v>4500</v>
      </c>
      <c r="S31" s="19">
        <v>4565</v>
      </c>
      <c r="T31" s="19">
        <v>-8.6999999999999993</v>
      </c>
      <c r="U31" s="19">
        <f t="shared" si="10"/>
        <v>4556.3</v>
      </c>
      <c r="V31" s="19">
        <v>4556.3</v>
      </c>
      <c r="W31" s="19"/>
      <c r="X31" s="18">
        <f t="shared" si="0"/>
        <v>4556.3</v>
      </c>
      <c r="Y31" s="9"/>
      <c r="Z31" s="4"/>
    </row>
    <row r="32" spans="1:26" ht="22.5" hidden="1" customHeight="1" outlineLevel="1" x14ac:dyDescent="0.25">
      <c r="A32" s="45"/>
      <c r="B32" s="38"/>
      <c r="C32" s="46"/>
      <c r="D32" s="14"/>
      <c r="E32" s="156" t="s">
        <v>389</v>
      </c>
      <c r="F32" s="141"/>
      <c r="G32" s="141"/>
      <c r="H32" s="142"/>
      <c r="I32" s="15"/>
      <c r="J32" s="6" t="s">
        <v>10</v>
      </c>
      <c r="K32" s="6" t="s">
        <v>23</v>
      </c>
      <c r="L32" s="11" t="s">
        <v>11</v>
      </c>
      <c r="M32" s="19"/>
      <c r="N32" s="19"/>
      <c r="O32" s="19"/>
      <c r="P32" s="19"/>
      <c r="Q32" s="19"/>
      <c r="R32" s="19"/>
      <c r="S32" s="19">
        <v>0</v>
      </c>
      <c r="T32" s="19"/>
      <c r="U32" s="19">
        <f t="shared" si="10"/>
        <v>0</v>
      </c>
      <c r="V32" s="19">
        <v>0</v>
      </c>
      <c r="W32" s="19"/>
      <c r="X32" s="18">
        <f t="shared" si="0"/>
        <v>0</v>
      </c>
      <c r="Y32" s="9"/>
      <c r="Z32" s="4"/>
    </row>
    <row r="33" spans="1:26" ht="27" hidden="1" customHeight="1" outlineLevel="1" x14ac:dyDescent="0.25">
      <c r="A33" s="45"/>
      <c r="B33" s="38"/>
      <c r="C33" s="46"/>
      <c r="D33" s="14"/>
      <c r="E33" s="156" t="s">
        <v>390</v>
      </c>
      <c r="F33" s="149"/>
      <c r="G33" s="149"/>
      <c r="H33" s="150"/>
      <c r="I33" s="15"/>
      <c r="J33" s="6" t="s">
        <v>10</v>
      </c>
      <c r="K33" s="6" t="s">
        <v>23</v>
      </c>
      <c r="L33" s="11" t="s">
        <v>26</v>
      </c>
      <c r="M33" s="19"/>
      <c r="N33" s="19"/>
      <c r="O33" s="19"/>
      <c r="P33" s="19"/>
      <c r="Q33" s="19"/>
      <c r="R33" s="19"/>
      <c r="S33" s="19">
        <v>0</v>
      </c>
      <c r="T33" s="19"/>
      <c r="U33" s="19">
        <f t="shared" si="10"/>
        <v>0</v>
      </c>
      <c r="V33" s="19">
        <v>0</v>
      </c>
      <c r="W33" s="19"/>
      <c r="X33" s="18">
        <f t="shared" si="0"/>
        <v>0</v>
      </c>
      <c r="Y33" s="9"/>
      <c r="Z33" s="4"/>
    </row>
    <row r="34" spans="1:26" ht="38.25" hidden="1" customHeight="1" outlineLevel="1" x14ac:dyDescent="0.25">
      <c r="A34" s="45"/>
      <c r="B34" s="38"/>
      <c r="C34" s="46"/>
      <c r="D34" s="14"/>
      <c r="E34" s="156" t="s">
        <v>391</v>
      </c>
      <c r="F34" s="149"/>
      <c r="G34" s="149"/>
      <c r="H34" s="150"/>
      <c r="I34" s="15"/>
      <c r="J34" s="6" t="s">
        <v>10</v>
      </c>
      <c r="K34" s="6" t="s">
        <v>23</v>
      </c>
      <c r="L34" s="11" t="s">
        <v>10</v>
      </c>
      <c r="M34" s="19"/>
      <c r="N34" s="19"/>
      <c r="O34" s="19"/>
      <c r="P34" s="19"/>
      <c r="Q34" s="19"/>
      <c r="R34" s="19"/>
      <c r="S34" s="19">
        <v>0</v>
      </c>
      <c r="T34" s="19">
        <v>28.7</v>
      </c>
      <c r="U34" s="19">
        <f t="shared" si="10"/>
        <v>28.7</v>
      </c>
      <c r="V34" s="19">
        <v>28.7</v>
      </c>
      <c r="W34" s="19"/>
      <c r="X34" s="18">
        <f t="shared" si="0"/>
        <v>28.7</v>
      </c>
      <c r="Y34" s="9"/>
      <c r="Z34" s="4"/>
    </row>
    <row r="35" spans="1:26" ht="34.200000000000003" customHeight="1" collapsed="1" x14ac:dyDescent="0.25">
      <c r="A35" s="45"/>
      <c r="B35" s="38"/>
      <c r="C35" s="46"/>
      <c r="D35" s="217" t="s">
        <v>191</v>
      </c>
      <c r="E35" s="139"/>
      <c r="F35" s="139"/>
      <c r="G35" s="139"/>
      <c r="H35" s="139"/>
      <c r="I35" s="15" t="s">
        <v>155</v>
      </c>
      <c r="J35" s="6" t="s">
        <v>10</v>
      </c>
      <c r="K35" s="6" t="s">
        <v>18</v>
      </c>
      <c r="L35" s="6" t="s">
        <v>4</v>
      </c>
      <c r="M35" s="19">
        <f>M37+M38</f>
        <v>30</v>
      </c>
      <c r="N35" s="19">
        <f>N37+N38</f>
        <v>0</v>
      </c>
      <c r="O35" s="19">
        <f>SUM(M35:N35)</f>
        <v>30</v>
      </c>
      <c r="P35" s="19">
        <f>P37+P38</f>
        <v>30</v>
      </c>
      <c r="Q35" s="19">
        <f>Q37+Q38</f>
        <v>0</v>
      </c>
      <c r="R35" s="19">
        <f>SUM(P35:Q35)</f>
        <v>30</v>
      </c>
      <c r="S35" s="19">
        <v>30</v>
      </c>
      <c r="T35" s="19">
        <f>SUM(T36+T37+T38)</f>
        <v>0</v>
      </c>
      <c r="U35" s="19">
        <f t="shared" si="10"/>
        <v>30</v>
      </c>
      <c r="V35" s="19">
        <v>30</v>
      </c>
      <c r="W35" s="19">
        <f>SUM(W36+W37+W38)</f>
        <v>0</v>
      </c>
      <c r="X35" s="18">
        <f t="shared" si="0"/>
        <v>30</v>
      </c>
      <c r="Y35" s="9"/>
      <c r="Z35" s="4"/>
    </row>
    <row r="36" spans="1:26" ht="47.25" hidden="1" customHeight="1" outlineLevel="1" x14ac:dyDescent="0.25">
      <c r="A36" s="45"/>
      <c r="B36" s="38"/>
      <c r="C36" s="46"/>
      <c r="D36" s="50"/>
      <c r="E36" s="156" t="s">
        <v>367</v>
      </c>
      <c r="F36" s="149"/>
      <c r="G36" s="149"/>
      <c r="H36" s="150"/>
      <c r="I36" s="15"/>
      <c r="J36" s="6">
        <v>4</v>
      </c>
      <c r="K36" s="6">
        <v>2</v>
      </c>
      <c r="L36" s="11" t="s">
        <v>13</v>
      </c>
      <c r="M36" s="19">
        <v>0</v>
      </c>
      <c r="N36" s="19"/>
      <c r="O36" s="19"/>
      <c r="P36" s="19">
        <v>0</v>
      </c>
      <c r="Q36" s="19"/>
      <c r="R36" s="19"/>
      <c r="S36" s="19">
        <v>0</v>
      </c>
      <c r="T36" s="19"/>
      <c r="U36" s="19">
        <f t="shared" si="10"/>
        <v>0</v>
      </c>
      <c r="V36" s="19">
        <v>0</v>
      </c>
      <c r="W36" s="19"/>
      <c r="X36" s="18">
        <f t="shared" si="0"/>
        <v>0</v>
      </c>
      <c r="Y36" s="94"/>
      <c r="Z36" s="4"/>
    </row>
    <row r="37" spans="1:26" ht="24.75" hidden="1" customHeight="1" outlineLevel="3" x14ac:dyDescent="0.25">
      <c r="A37" s="45"/>
      <c r="B37" s="38"/>
      <c r="C37" s="46"/>
      <c r="D37" s="14"/>
      <c r="E37" s="147" t="s">
        <v>189</v>
      </c>
      <c r="F37" s="139"/>
      <c r="G37" s="139"/>
      <c r="H37" s="139"/>
      <c r="I37" s="15" t="s">
        <v>154</v>
      </c>
      <c r="J37" s="6" t="s">
        <v>10</v>
      </c>
      <c r="K37" s="6" t="s">
        <v>18</v>
      </c>
      <c r="L37" s="6" t="s">
        <v>11</v>
      </c>
      <c r="M37" s="19">
        <v>10</v>
      </c>
      <c r="N37" s="19"/>
      <c r="O37" s="19">
        <f>SUM(M37:N37)</f>
        <v>10</v>
      </c>
      <c r="P37" s="19">
        <v>10</v>
      </c>
      <c r="Q37" s="19"/>
      <c r="R37" s="19">
        <f>SUM(P37:Q37)</f>
        <v>10</v>
      </c>
      <c r="S37" s="19">
        <v>10</v>
      </c>
      <c r="T37" s="19"/>
      <c r="U37" s="19">
        <f t="shared" ref="U37:U38" si="12">SUM(S37:T37)</f>
        <v>10</v>
      </c>
      <c r="V37" s="19">
        <v>10</v>
      </c>
      <c r="W37" s="19"/>
      <c r="X37" s="18">
        <f t="shared" si="0"/>
        <v>10</v>
      </c>
      <c r="Y37" s="9"/>
      <c r="Z37" s="4"/>
    </row>
    <row r="38" spans="1:26" ht="42.75" hidden="1" customHeight="1" outlineLevel="3" x14ac:dyDescent="0.25">
      <c r="A38" s="45"/>
      <c r="B38" s="38"/>
      <c r="C38" s="46"/>
      <c r="D38" s="14"/>
      <c r="E38" s="147" t="s">
        <v>190</v>
      </c>
      <c r="F38" s="139"/>
      <c r="G38" s="139"/>
      <c r="H38" s="139"/>
      <c r="I38" s="15" t="s">
        <v>153</v>
      </c>
      <c r="J38" s="6" t="s">
        <v>10</v>
      </c>
      <c r="K38" s="6" t="s">
        <v>18</v>
      </c>
      <c r="L38" s="6" t="s">
        <v>26</v>
      </c>
      <c r="M38" s="19">
        <v>20</v>
      </c>
      <c r="N38" s="19"/>
      <c r="O38" s="19">
        <f>SUM(M38:N38)</f>
        <v>20</v>
      </c>
      <c r="P38" s="19">
        <v>20</v>
      </c>
      <c r="Q38" s="19"/>
      <c r="R38" s="19">
        <f>SUM(P38:Q38)</f>
        <v>20</v>
      </c>
      <c r="S38" s="19">
        <v>20</v>
      </c>
      <c r="T38" s="19"/>
      <c r="U38" s="19">
        <f t="shared" si="12"/>
        <v>20</v>
      </c>
      <c r="V38" s="19">
        <v>20</v>
      </c>
      <c r="W38" s="19"/>
      <c r="X38" s="18">
        <f t="shared" si="0"/>
        <v>20</v>
      </c>
      <c r="Y38" s="9"/>
      <c r="Z38" s="4"/>
    </row>
    <row r="39" spans="1:26" ht="43.8" customHeight="1" collapsed="1" x14ac:dyDescent="0.25">
      <c r="A39" s="45"/>
      <c r="B39" s="38"/>
      <c r="C39" s="46"/>
      <c r="D39" s="217" t="s">
        <v>192</v>
      </c>
      <c r="E39" s="139"/>
      <c r="F39" s="139"/>
      <c r="G39" s="139"/>
      <c r="H39" s="139"/>
      <c r="I39" s="15" t="s">
        <v>152</v>
      </c>
      <c r="J39" s="6" t="s">
        <v>10</v>
      </c>
      <c r="K39" s="6" t="s">
        <v>27</v>
      </c>
      <c r="L39" s="6" t="s">
        <v>4</v>
      </c>
      <c r="M39" s="19">
        <f t="shared" ref="M39:R39" si="13">M40</f>
        <v>500</v>
      </c>
      <c r="N39" s="19">
        <f t="shared" si="13"/>
        <v>0</v>
      </c>
      <c r="O39" s="19">
        <f t="shared" si="13"/>
        <v>500</v>
      </c>
      <c r="P39" s="19">
        <f t="shared" si="13"/>
        <v>500</v>
      </c>
      <c r="Q39" s="19">
        <f t="shared" si="13"/>
        <v>0</v>
      </c>
      <c r="R39" s="19">
        <f t="shared" si="13"/>
        <v>500</v>
      </c>
      <c r="S39" s="19">
        <v>500</v>
      </c>
      <c r="T39" s="19">
        <f>SUM(T40)</f>
        <v>-20</v>
      </c>
      <c r="U39" s="19">
        <f>SUM(S39:T39)</f>
        <v>480</v>
      </c>
      <c r="V39" s="19">
        <v>480</v>
      </c>
      <c r="W39" s="19">
        <f>SUM(W40)</f>
        <v>0</v>
      </c>
      <c r="X39" s="18">
        <f t="shared" si="0"/>
        <v>480</v>
      </c>
      <c r="Y39" s="9"/>
      <c r="Z39" s="4"/>
    </row>
    <row r="40" spans="1:26" ht="84" hidden="1" customHeight="1" outlineLevel="1" x14ac:dyDescent="0.25">
      <c r="A40" s="45"/>
      <c r="B40" s="38"/>
      <c r="C40" s="46"/>
      <c r="D40" s="14"/>
      <c r="E40" s="139" t="s">
        <v>360</v>
      </c>
      <c r="F40" s="139"/>
      <c r="G40" s="139"/>
      <c r="H40" s="139"/>
      <c r="I40" s="15" t="s">
        <v>152</v>
      </c>
      <c r="J40" s="6" t="s">
        <v>10</v>
      </c>
      <c r="K40" s="6" t="s">
        <v>27</v>
      </c>
      <c r="L40" s="6" t="s">
        <v>13</v>
      </c>
      <c r="M40" s="19">
        <v>500</v>
      </c>
      <c r="N40" s="19"/>
      <c r="O40" s="19">
        <f>SUM(M40:N40)</f>
        <v>500</v>
      </c>
      <c r="P40" s="19">
        <v>500</v>
      </c>
      <c r="Q40" s="19"/>
      <c r="R40" s="19">
        <f>SUM(P40:Q40)</f>
        <v>500</v>
      </c>
      <c r="S40" s="19">
        <v>500</v>
      </c>
      <c r="T40" s="19">
        <v>-20</v>
      </c>
      <c r="U40" s="19">
        <f>SUM(S40:T40)</f>
        <v>480</v>
      </c>
      <c r="V40" s="19">
        <v>480</v>
      </c>
      <c r="W40" s="19"/>
      <c r="X40" s="110">
        <f t="shared" si="0"/>
        <v>480</v>
      </c>
      <c r="Y40" s="9"/>
      <c r="Z40" s="4"/>
    </row>
    <row r="41" spans="1:26" ht="34.200000000000003" customHeight="1" collapsed="1" x14ac:dyDescent="0.25">
      <c r="A41" s="45"/>
      <c r="B41" s="4"/>
      <c r="C41" s="47"/>
      <c r="D41" s="218" t="s">
        <v>321</v>
      </c>
      <c r="E41" s="219"/>
      <c r="F41" s="219"/>
      <c r="G41" s="219"/>
      <c r="H41" s="220"/>
      <c r="I41" s="119" t="s">
        <v>151</v>
      </c>
      <c r="J41" s="120" t="s">
        <v>7</v>
      </c>
      <c r="K41" s="120" t="s">
        <v>4</v>
      </c>
      <c r="L41" s="120" t="s">
        <v>4</v>
      </c>
      <c r="M41" s="108">
        <f>M42+M44</f>
        <v>40754.6</v>
      </c>
      <c r="N41" s="108">
        <f>N42+N44</f>
        <v>0</v>
      </c>
      <c r="O41" s="106">
        <f>SUM(M41:N41)</f>
        <v>40754.6</v>
      </c>
      <c r="P41" s="108">
        <f>P42+P44</f>
        <v>40754.6</v>
      </c>
      <c r="Q41" s="108">
        <f>Q42+Q44</f>
        <v>-455</v>
      </c>
      <c r="R41" s="106">
        <f>SUM(P41:Q41)</f>
        <v>40299.599999999999</v>
      </c>
      <c r="S41" s="106">
        <v>38900.699999999997</v>
      </c>
      <c r="T41" s="106">
        <f>SUM(T42+T44)</f>
        <v>-700</v>
      </c>
      <c r="U41" s="106">
        <f>SUM(S41:T41)</f>
        <v>38200.699999999997</v>
      </c>
      <c r="V41" s="106">
        <v>38200.699999999997</v>
      </c>
      <c r="W41" s="106">
        <f>SUM(W42+W44)</f>
        <v>0</v>
      </c>
      <c r="X41" s="110">
        <f t="shared" si="0"/>
        <v>38200.699999999997</v>
      </c>
      <c r="Y41" s="121"/>
      <c r="Z41" s="4"/>
    </row>
    <row r="42" spans="1:26" ht="37.200000000000003" customHeight="1" x14ac:dyDescent="0.25">
      <c r="A42" s="45"/>
      <c r="B42" s="38"/>
      <c r="C42" s="46"/>
      <c r="D42" s="217" t="s">
        <v>193</v>
      </c>
      <c r="E42" s="139"/>
      <c r="F42" s="139"/>
      <c r="G42" s="139"/>
      <c r="H42" s="139"/>
      <c r="I42" s="15" t="s">
        <v>150</v>
      </c>
      <c r="J42" s="6" t="s">
        <v>7</v>
      </c>
      <c r="K42" s="6" t="s">
        <v>23</v>
      </c>
      <c r="L42" s="6" t="s">
        <v>4</v>
      </c>
      <c r="M42" s="19">
        <f t="shared" ref="M42:R42" si="14">M43</f>
        <v>36577.599999999999</v>
      </c>
      <c r="N42" s="19">
        <f t="shared" si="14"/>
        <v>0</v>
      </c>
      <c r="O42" s="19">
        <f t="shared" si="14"/>
        <v>36577.599999999999</v>
      </c>
      <c r="P42" s="19">
        <f t="shared" si="14"/>
        <v>36577.599999999999</v>
      </c>
      <c r="Q42" s="19">
        <f t="shared" si="14"/>
        <v>0</v>
      </c>
      <c r="R42" s="19">
        <f t="shared" si="14"/>
        <v>36577.599999999999</v>
      </c>
      <c r="S42" s="19">
        <v>36990.400000000001</v>
      </c>
      <c r="T42" s="19">
        <f>SUM(T43)</f>
        <v>0</v>
      </c>
      <c r="U42" s="19">
        <f>SUM(S42:T42)</f>
        <v>36990.400000000001</v>
      </c>
      <c r="V42" s="19">
        <v>36990.400000000001</v>
      </c>
      <c r="W42" s="19">
        <f>SUM(W43)</f>
        <v>0</v>
      </c>
      <c r="X42" s="18">
        <f t="shared" si="0"/>
        <v>36990.400000000001</v>
      </c>
      <c r="Y42" s="9"/>
      <c r="Z42" s="4"/>
    </row>
    <row r="43" spans="1:26" ht="47.25" hidden="1" customHeight="1" outlineLevel="1" x14ac:dyDescent="0.25">
      <c r="A43" s="45"/>
      <c r="B43" s="38"/>
      <c r="C43" s="46"/>
      <c r="D43" s="14"/>
      <c r="E43" s="147" t="s">
        <v>194</v>
      </c>
      <c r="F43" s="139"/>
      <c r="G43" s="139"/>
      <c r="H43" s="139"/>
      <c r="I43" s="15" t="s">
        <v>150</v>
      </c>
      <c r="J43" s="6" t="s">
        <v>7</v>
      </c>
      <c r="K43" s="6" t="s">
        <v>23</v>
      </c>
      <c r="L43" s="6" t="s">
        <v>13</v>
      </c>
      <c r="M43" s="19">
        <v>36577.599999999999</v>
      </c>
      <c r="N43" s="19"/>
      <c r="O43" s="19">
        <f>SUM(M43:N43)</f>
        <v>36577.599999999999</v>
      </c>
      <c r="P43" s="19">
        <v>36577.599999999999</v>
      </c>
      <c r="Q43" s="19"/>
      <c r="R43" s="19">
        <f>SUM(P43:Q43)</f>
        <v>36577.599999999999</v>
      </c>
      <c r="S43" s="19">
        <v>36990.400000000001</v>
      </c>
      <c r="T43" s="19"/>
      <c r="U43" s="19">
        <f t="shared" ref="U43:U45" si="15">SUM(S43:T43)</f>
        <v>36990.400000000001</v>
      </c>
      <c r="V43" s="19">
        <v>36990.400000000001</v>
      </c>
      <c r="W43" s="19"/>
      <c r="X43" s="18">
        <f t="shared" si="0"/>
        <v>36990.400000000001</v>
      </c>
      <c r="Y43" s="9"/>
      <c r="Z43" s="4"/>
    </row>
    <row r="44" spans="1:26" ht="24.6" customHeight="1" collapsed="1" x14ac:dyDescent="0.25">
      <c r="A44" s="45"/>
      <c r="B44" s="38"/>
      <c r="C44" s="46"/>
      <c r="D44" s="217" t="s">
        <v>287</v>
      </c>
      <c r="E44" s="139"/>
      <c r="F44" s="139"/>
      <c r="G44" s="139"/>
      <c r="H44" s="139"/>
      <c r="I44" s="15" t="s">
        <v>149</v>
      </c>
      <c r="J44" s="6" t="s">
        <v>7</v>
      </c>
      <c r="K44" s="6" t="s">
        <v>18</v>
      </c>
      <c r="L44" s="6" t="s">
        <v>4</v>
      </c>
      <c r="M44" s="19">
        <f t="shared" ref="M44:R44" si="16">M45</f>
        <v>4177</v>
      </c>
      <c r="N44" s="19">
        <f t="shared" si="16"/>
        <v>0</v>
      </c>
      <c r="O44" s="19">
        <f t="shared" si="16"/>
        <v>4177</v>
      </c>
      <c r="P44" s="19">
        <f t="shared" si="16"/>
        <v>4177</v>
      </c>
      <c r="Q44" s="19">
        <f t="shared" si="16"/>
        <v>-455</v>
      </c>
      <c r="R44" s="19">
        <f t="shared" si="16"/>
        <v>3722</v>
      </c>
      <c r="S44" s="19">
        <v>1910.3</v>
      </c>
      <c r="T44" s="19">
        <f>SUM(T45)</f>
        <v>-700</v>
      </c>
      <c r="U44" s="19">
        <f t="shared" si="15"/>
        <v>1210.3</v>
      </c>
      <c r="V44" s="19">
        <v>1210.3</v>
      </c>
      <c r="W44" s="19">
        <f>SUM(W45)</f>
        <v>0</v>
      </c>
      <c r="X44" s="18">
        <f t="shared" si="0"/>
        <v>1210.3</v>
      </c>
      <c r="Y44" s="9"/>
      <c r="Z44" s="4"/>
    </row>
    <row r="45" spans="1:26" ht="42.75" hidden="1" customHeight="1" outlineLevel="1" x14ac:dyDescent="0.25">
      <c r="A45" s="45"/>
      <c r="B45" s="38"/>
      <c r="C45" s="46"/>
      <c r="D45" s="14"/>
      <c r="E45" s="147" t="s">
        <v>195</v>
      </c>
      <c r="F45" s="139"/>
      <c r="G45" s="139"/>
      <c r="H45" s="139"/>
      <c r="I45" s="15" t="s">
        <v>149</v>
      </c>
      <c r="J45" s="6" t="s">
        <v>7</v>
      </c>
      <c r="K45" s="6" t="s">
        <v>18</v>
      </c>
      <c r="L45" s="6" t="s">
        <v>13</v>
      </c>
      <c r="M45" s="19">
        <v>4177</v>
      </c>
      <c r="N45" s="19"/>
      <c r="O45" s="19">
        <f>SUM(M45:N45)</f>
        <v>4177</v>
      </c>
      <c r="P45" s="19">
        <v>4177</v>
      </c>
      <c r="Q45" s="19">
        <v>-455</v>
      </c>
      <c r="R45" s="19">
        <f>SUM(P45:Q45)</f>
        <v>3722</v>
      </c>
      <c r="S45" s="19">
        <v>1910.3</v>
      </c>
      <c r="T45" s="19">
        <v>-700</v>
      </c>
      <c r="U45" s="19">
        <f t="shared" si="15"/>
        <v>1210.3</v>
      </c>
      <c r="V45" s="19">
        <v>1210.3</v>
      </c>
      <c r="W45" s="19"/>
      <c r="X45" s="18">
        <f t="shared" si="0"/>
        <v>1210.3</v>
      </c>
      <c r="Y45" s="9"/>
      <c r="Z45" s="4"/>
    </row>
    <row r="46" spans="1:26" ht="36.6" customHeight="1" collapsed="1" x14ac:dyDescent="0.25">
      <c r="A46" s="45"/>
      <c r="B46" s="4"/>
      <c r="C46" s="47"/>
      <c r="D46" s="218" t="s">
        <v>303</v>
      </c>
      <c r="E46" s="225"/>
      <c r="F46" s="225"/>
      <c r="G46" s="225"/>
      <c r="H46" s="226"/>
      <c r="I46" s="122" t="s">
        <v>148</v>
      </c>
      <c r="J46" s="123" t="s">
        <v>5</v>
      </c>
      <c r="K46" s="123" t="s">
        <v>4</v>
      </c>
      <c r="L46" s="123" t="s">
        <v>4</v>
      </c>
      <c r="M46" s="106">
        <f>M47+M53+M57</f>
        <v>455568.6</v>
      </c>
      <c r="N46" s="106">
        <f>N47+N53+N57</f>
        <v>1751.4</v>
      </c>
      <c r="O46" s="106">
        <f>SUM(M46:N46)</f>
        <v>457320</v>
      </c>
      <c r="P46" s="106">
        <v>457320</v>
      </c>
      <c r="Q46" s="106">
        <f>Q47+Q53+Q57</f>
        <v>2688.1</v>
      </c>
      <c r="R46" s="106">
        <f>SUM(P46:Q46)</f>
        <v>460008.1</v>
      </c>
      <c r="S46" s="106">
        <v>464752.69999999995</v>
      </c>
      <c r="T46" s="106">
        <f>T47+T53+T57</f>
        <v>33585.800000000003</v>
      </c>
      <c r="U46" s="106">
        <f t="shared" ref="U46:X46" si="17">U47+U53+U57</f>
        <v>498338.5</v>
      </c>
      <c r="V46" s="106">
        <f t="shared" si="17"/>
        <v>498338.5</v>
      </c>
      <c r="W46" s="106">
        <f>W47+W53+W57</f>
        <v>-43.400000000000006</v>
      </c>
      <c r="X46" s="110">
        <f t="shared" si="17"/>
        <v>498295.1</v>
      </c>
      <c r="Y46" s="9"/>
      <c r="Z46" s="4"/>
    </row>
    <row r="47" spans="1:26" ht="52.5" customHeight="1" x14ac:dyDescent="0.25">
      <c r="A47" s="45"/>
      <c r="B47" s="38"/>
      <c r="C47" s="46"/>
      <c r="D47" s="224" t="s">
        <v>178</v>
      </c>
      <c r="E47" s="139"/>
      <c r="F47" s="139"/>
      <c r="G47" s="139"/>
      <c r="H47" s="139"/>
      <c r="I47" s="15" t="s">
        <v>147</v>
      </c>
      <c r="J47" s="6" t="s">
        <v>5</v>
      </c>
      <c r="K47" s="6" t="s">
        <v>23</v>
      </c>
      <c r="L47" s="6" t="s">
        <v>4</v>
      </c>
      <c r="M47" s="19">
        <f>M48+M49+M50+M51+M52</f>
        <v>11559.1</v>
      </c>
      <c r="N47" s="19">
        <f>N48+N49+N50+N51+N52</f>
        <v>1526.9</v>
      </c>
      <c r="O47" s="19">
        <f>O48+O49+O50+O51+O52</f>
        <v>13086</v>
      </c>
      <c r="P47" s="19">
        <v>13086</v>
      </c>
      <c r="Q47" s="19">
        <f>Q48+Q49+Q50+Q51+Q52</f>
        <v>714.9</v>
      </c>
      <c r="R47" s="19">
        <f>R48+R49+R50+R51+R52</f>
        <v>13800.9</v>
      </c>
      <c r="S47" s="19">
        <v>15145.4</v>
      </c>
      <c r="T47" s="19">
        <f>T48+T49+T50+T51</f>
        <v>131</v>
      </c>
      <c r="U47" s="19">
        <f t="shared" ref="U47:U58" si="18">SUM(S47:T47)</f>
        <v>15276.4</v>
      </c>
      <c r="V47" s="19">
        <v>15276.4</v>
      </c>
      <c r="W47" s="19">
        <f>W48+W49+W50+W51</f>
        <v>0</v>
      </c>
      <c r="X47" s="18">
        <f t="shared" si="0"/>
        <v>15276.4</v>
      </c>
      <c r="Y47" s="9"/>
      <c r="Z47" s="4"/>
    </row>
    <row r="48" spans="1:26" ht="85.5" hidden="1" customHeight="1" outlineLevel="1" x14ac:dyDescent="0.25">
      <c r="A48" s="45"/>
      <c r="B48" s="38"/>
      <c r="C48" s="46"/>
      <c r="D48" s="14"/>
      <c r="E48" s="139" t="s">
        <v>196</v>
      </c>
      <c r="F48" s="139"/>
      <c r="G48" s="139"/>
      <c r="H48" s="139"/>
      <c r="I48" s="15" t="s">
        <v>146</v>
      </c>
      <c r="J48" s="6" t="s">
        <v>5</v>
      </c>
      <c r="K48" s="6" t="s">
        <v>23</v>
      </c>
      <c r="L48" s="6" t="s">
        <v>13</v>
      </c>
      <c r="M48" s="19">
        <v>809.1</v>
      </c>
      <c r="N48" s="19"/>
      <c r="O48" s="19">
        <f t="shared" ref="O48:O62" si="19">SUM(M48:N48)</f>
        <v>809.1</v>
      </c>
      <c r="P48" s="19">
        <v>809.1</v>
      </c>
      <c r="Q48" s="19"/>
      <c r="R48" s="19">
        <f t="shared" ref="R48:R56" si="20">SUM(P48:Q48)</f>
        <v>809.1</v>
      </c>
      <c r="S48" s="19">
        <v>1365.7</v>
      </c>
      <c r="T48" s="19"/>
      <c r="U48" s="19">
        <f t="shared" si="18"/>
        <v>1365.7</v>
      </c>
      <c r="V48" s="19">
        <v>1365.7</v>
      </c>
      <c r="W48" s="19"/>
      <c r="X48" s="18">
        <f t="shared" si="0"/>
        <v>1365.7</v>
      </c>
      <c r="Y48" s="9"/>
      <c r="Z48" s="4"/>
    </row>
    <row r="49" spans="1:26" ht="54.75" hidden="1" customHeight="1" outlineLevel="1" x14ac:dyDescent="0.25">
      <c r="A49" s="45"/>
      <c r="B49" s="38"/>
      <c r="C49" s="46"/>
      <c r="D49" s="14"/>
      <c r="E49" s="139" t="s">
        <v>197</v>
      </c>
      <c r="F49" s="139"/>
      <c r="G49" s="139"/>
      <c r="H49" s="139"/>
      <c r="I49" s="15" t="s">
        <v>145</v>
      </c>
      <c r="J49" s="6" t="s">
        <v>5</v>
      </c>
      <c r="K49" s="6" t="s">
        <v>23</v>
      </c>
      <c r="L49" s="6" t="s">
        <v>11</v>
      </c>
      <c r="M49" s="19">
        <v>50</v>
      </c>
      <c r="N49" s="19">
        <v>527</v>
      </c>
      <c r="O49" s="19">
        <f t="shared" si="19"/>
        <v>577</v>
      </c>
      <c r="P49" s="19">
        <v>577</v>
      </c>
      <c r="Q49" s="19">
        <v>500</v>
      </c>
      <c r="R49" s="19">
        <f t="shared" si="20"/>
        <v>1077</v>
      </c>
      <c r="S49" s="19">
        <v>837.9</v>
      </c>
      <c r="T49" s="19"/>
      <c r="U49" s="19">
        <f t="shared" si="18"/>
        <v>837.9</v>
      </c>
      <c r="V49" s="19">
        <v>837.9</v>
      </c>
      <c r="W49" s="19">
        <v>239</v>
      </c>
      <c r="X49" s="18">
        <f t="shared" si="0"/>
        <v>1076.9000000000001</v>
      </c>
      <c r="Y49" s="9"/>
      <c r="Z49" s="4"/>
    </row>
    <row r="50" spans="1:26" ht="75" hidden="1" customHeight="1" outlineLevel="1" x14ac:dyDescent="0.25">
      <c r="A50" s="45"/>
      <c r="B50" s="38"/>
      <c r="C50" s="46"/>
      <c r="D50" s="14"/>
      <c r="E50" s="139" t="s">
        <v>198</v>
      </c>
      <c r="F50" s="139"/>
      <c r="G50" s="139"/>
      <c r="H50" s="139"/>
      <c r="I50" s="15" t="s">
        <v>144</v>
      </c>
      <c r="J50" s="6" t="s">
        <v>5</v>
      </c>
      <c r="K50" s="6" t="s">
        <v>23</v>
      </c>
      <c r="L50" s="6" t="s">
        <v>26</v>
      </c>
      <c r="M50" s="19">
        <v>5200</v>
      </c>
      <c r="N50" s="19">
        <f>999.9</f>
        <v>999.9</v>
      </c>
      <c r="O50" s="19">
        <f t="shared" si="19"/>
        <v>6199.9</v>
      </c>
      <c r="P50" s="19">
        <v>6199.9</v>
      </c>
      <c r="Q50" s="19">
        <v>214.9</v>
      </c>
      <c r="R50" s="19">
        <f t="shared" si="20"/>
        <v>6414.7999999999993</v>
      </c>
      <c r="S50" s="19">
        <v>7441.7999999999993</v>
      </c>
      <c r="T50" s="19">
        <f>-8.9+139.9</f>
        <v>131</v>
      </c>
      <c r="U50" s="19">
        <f t="shared" si="18"/>
        <v>7572.7999999999993</v>
      </c>
      <c r="V50" s="19">
        <v>7572.7999999999993</v>
      </c>
      <c r="W50" s="19">
        <v>-239</v>
      </c>
      <c r="X50" s="18">
        <f t="shared" si="0"/>
        <v>7333.7999999999993</v>
      </c>
      <c r="Y50" s="9"/>
      <c r="Z50" s="4"/>
    </row>
    <row r="51" spans="1:26" ht="66.75" hidden="1" customHeight="1" outlineLevel="1" x14ac:dyDescent="0.25">
      <c r="A51" s="45"/>
      <c r="B51" s="38"/>
      <c r="C51" s="46"/>
      <c r="D51" s="14"/>
      <c r="E51" s="156" t="s">
        <v>352</v>
      </c>
      <c r="F51" s="149"/>
      <c r="G51" s="149"/>
      <c r="H51" s="150"/>
      <c r="I51" s="15"/>
      <c r="J51" s="6" t="s">
        <v>5</v>
      </c>
      <c r="K51" s="6" t="s">
        <v>23</v>
      </c>
      <c r="L51" s="11" t="s">
        <v>10</v>
      </c>
      <c r="M51" s="19">
        <v>500</v>
      </c>
      <c r="N51" s="19"/>
      <c r="O51" s="19">
        <f t="shared" si="19"/>
        <v>500</v>
      </c>
      <c r="P51" s="19">
        <v>500</v>
      </c>
      <c r="Q51" s="19"/>
      <c r="R51" s="19">
        <f t="shared" si="20"/>
        <v>500</v>
      </c>
      <c r="S51" s="19">
        <v>500</v>
      </c>
      <c r="T51" s="19"/>
      <c r="U51" s="19">
        <f t="shared" si="18"/>
        <v>500</v>
      </c>
      <c r="V51" s="19">
        <v>500</v>
      </c>
      <c r="W51" s="19"/>
      <c r="X51" s="18">
        <f t="shared" si="0"/>
        <v>500</v>
      </c>
      <c r="Y51" s="9"/>
      <c r="Z51" s="4"/>
    </row>
    <row r="52" spans="1:26" ht="22.5" hidden="1" customHeight="1" outlineLevel="1" x14ac:dyDescent="0.25">
      <c r="A52" s="45"/>
      <c r="B52" s="38"/>
      <c r="C52" s="46"/>
      <c r="D52" s="14"/>
      <c r="E52" s="139" t="s">
        <v>199</v>
      </c>
      <c r="F52" s="139"/>
      <c r="G52" s="139"/>
      <c r="H52" s="139"/>
      <c r="I52" s="15" t="s">
        <v>142</v>
      </c>
      <c r="J52" s="6" t="s">
        <v>5</v>
      </c>
      <c r="K52" s="6" t="s">
        <v>23</v>
      </c>
      <c r="L52" s="6" t="s">
        <v>143</v>
      </c>
      <c r="M52" s="19">
        <v>5000</v>
      </c>
      <c r="N52" s="19"/>
      <c r="O52" s="19">
        <f t="shared" si="19"/>
        <v>5000</v>
      </c>
      <c r="P52" s="19">
        <v>5000</v>
      </c>
      <c r="Q52" s="19"/>
      <c r="R52" s="19">
        <f t="shared" si="20"/>
        <v>5000</v>
      </c>
      <c r="S52" s="19">
        <v>5000</v>
      </c>
      <c r="T52" s="19"/>
      <c r="U52" s="19">
        <f t="shared" si="18"/>
        <v>5000</v>
      </c>
      <c r="V52" s="19">
        <v>5000</v>
      </c>
      <c r="W52" s="19"/>
      <c r="X52" s="18">
        <f t="shared" si="0"/>
        <v>5000</v>
      </c>
      <c r="Y52" s="21"/>
      <c r="Z52" s="4"/>
    </row>
    <row r="53" spans="1:26" ht="39" customHeight="1" collapsed="1" x14ac:dyDescent="0.25">
      <c r="A53" s="45"/>
      <c r="B53" s="38"/>
      <c r="C53" s="46"/>
      <c r="D53" s="224" t="s">
        <v>200</v>
      </c>
      <c r="E53" s="139"/>
      <c r="F53" s="139"/>
      <c r="G53" s="139"/>
      <c r="H53" s="139"/>
      <c r="I53" s="15" t="s">
        <v>141</v>
      </c>
      <c r="J53" s="6" t="s">
        <v>5</v>
      </c>
      <c r="K53" s="6" t="s">
        <v>18</v>
      </c>
      <c r="L53" s="6" t="s">
        <v>4</v>
      </c>
      <c r="M53" s="19">
        <f>M54+M55+M56</f>
        <v>3184.2</v>
      </c>
      <c r="N53" s="19">
        <f>N54+N55+N56</f>
        <v>224.5</v>
      </c>
      <c r="O53" s="19">
        <f>SUM(M53:N53)</f>
        <v>3408.7</v>
      </c>
      <c r="P53" s="19">
        <v>3408.7</v>
      </c>
      <c r="Q53" s="19">
        <f>Q54+Q55+Q56</f>
        <v>0</v>
      </c>
      <c r="R53" s="19">
        <f t="shared" si="20"/>
        <v>3408.7</v>
      </c>
      <c r="S53" s="19">
        <v>3910.7999999999997</v>
      </c>
      <c r="T53" s="19">
        <f>T54+T55+T56</f>
        <v>0</v>
      </c>
      <c r="U53" s="19">
        <f t="shared" si="18"/>
        <v>3910.7999999999997</v>
      </c>
      <c r="V53" s="19">
        <v>3910.7999999999997</v>
      </c>
      <c r="W53" s="19">
        <f>W54+W55+W56</f>
        <v>0</v>
      </c>
      <c r="X53" s="18">
        <f t="shared" si="0"/>
        <v>3910.7999999999997</v>
      </c>
      <c r="Y53" s="9"/>
      <c r="Z53" s="4"/>
    </row>
    <row r="54" spans="1:26" ht="52.5" hidden="1" customHeight="1" outlineLevel="1" x14ac:dyDescent="0.25">
      <c r="A54" s="45"/>
      <c r="B54" s="38"/>
      <c r="C54" s="46"/>
      <c r="D54" s="14"/>
      <c r="E54" s="139" t="s">
        <v>201</v>
      </c>
      <c r="F54" s="139"/>
      <c r="G54" s="139"/>
      <c r="H54" s="139"/>
      <c r="I54" s="15" t="s">
        <v>140</v>
      </c>
      <c r="J54" s="6" t="s">
        <v>5</v>
      </c>
      <c r="K54" s="6" t="s">
        <v>18</v>
      </c>
      <c r="L54" s="6" t="s">
        <v>13</v>
      </c>
      <c r="M54" s="19">
        <v>100</v>
      </c>
      <c r="N54" s="19"/>
      <c r="O54" s="19">
        <f t="shared" si="19"/>
        <v>100</v>
      </c>
      <c r="P54" s="19">
        <v>100</v>
      </c>
      <c r="Q54" s="19"/>
      <c r="R54" s="19">
        <f t="shared" si="20"/>
        <v>100</v>
      </c>
      <c r="S54" s="19">
        <v>100</v>
      </c>
      <c r="T54" s="19"/>
      <c r="U54" s="19">
        <f t="shared" si="18"/>
        <v>100</v>
      </c>
      <c r="V54" s="19">
        <v>100</v>
      </c>
      <c r="W54" s="19"/>
      <c r="X54" s="18">
        <f t="shared" si="0"/>
        <v>100</v>
      </c>
      <c r="Y54" s="21"/>
      <c r="Z54" s="4"/>
    </row>
    <row r="55" spans="1:26" ht="55.5" hidden="1" customHeight="1" outlineLevel="1" x14ac:dyDescent="0.25">
      <c r="A55" s="45"/>
      <c r="B55" s="38"/>
      <c r="C55" s="46"/>
      <c r="D55" s="14"/>
      <c r="E55" s="139" t="s">
        <v>202</v>
      </c>
      <c r="F55" s="139"/>
      <c r="G55" s="139"/>
      <c r="H55" s="139"/>
      <c r="I55" s="15" t="s">
        <v>139</v>
      </c>
      <c r="J55" s="6" t="s">
        <v>5</v>
      </c>
      <c r="K55" s="6" t="s">
        <v>18</v>
      </c>
      <c r="L55" s="6" t="s">
        <v>11</v>
      </c>
      <c r="M55" s="19">
        <v>284.2</v>
      </c>
      <c r="N55" s="19">
        <f>224.5</f>
        <v>224.5</v>
      </c>
      <c r="O55" s="19">
        <f t="shared" si="19"/>
        <v>508.7</v>
      </c>
      <c r="P55" s="19">
        <v>508.7</v>
      </c>
      <c r="Q55" s="19"/>
      <c r="R55" s="19">
        <f t="shared" si="20"/>
        <v>508.7</v>
      </c>
      <c r="S55" s="19">
        <v>508.7</v>
      </c>
      <c r="T55" s="19"/>
      <c r="U55" s="19">
        <f t="shared" si="18"/>
        <v>508.7</v>
      </c>
      <c r="V55" s="19">
        <v>508.7</v>
      </c>
      <c r="W55" s="19"/>
      <c r="X55" s="18">
        <f t="shared" si="0"/>
        <v>508.7</v>
      </c>
      <c r="Y55" s="9"/>
      <c r="Z55" s="4"/>
    </row>
    <row r="56" spans="1:26" ht="81.75" hidden="1" customHeight="1" outlineLevel="1" x14ac:dyDescent="0.25">
      <c r="A56" s="45"/>
      <c r="B56" s="38"/>
      <c r="C56" s="46"/>
      <c r="D56" s="14"/>
      <c r="E56" s="139" t="s">
        <v>306</v>
      </c>
      <c r="F56" s="139"/>
      <c r="G56" s="139"/>
      <c r="H56" s="139"/>
      <c r="I56" s="15" t="s">
        <v>138</v>
      </c>
      <c r="J56" s="6" t="s">
        <v>5</v>
      </c>
      <c r="K56" s="6" t="s">
        <v>18</v>
      </c>
      <c r="L56" s="6" t="s">
        <v>26</v>
      </c>
      <c r="M56" s="19">
        <v>2800</v>
      </c>
      <c r="N56" s="19"/>
      <c r="O56" s="18">
        <f t="shared" si="19"/>
        <v>2800</v>
      </c>
      <c r="P56" s="19">
        <v>2800</v>
      </c>
      <c r="Q56" s="19"/>
      <c r="R56" s="18">
        <f t="shared" si="20"/>
        <v>2800</v>
      </c>
      <c r="S56" s="19">
        <v>3302.1</v>
      </c>
      <c r="T56" s="19"/>
      <c r="U56" s="19">
        <f t="shared" si="18"/>
        <v>3302.1</v>
      </c>
      <c r="V56" s="19">
        <v>3302.1</v>
      </c>
      <c r="W56" s="19"/>
      <c r="X56" s="18">
        <f t="shared" si="0"/>
        <v>3302.1</v>
      </c>
      <c r="Y56" s="9"/>
      <c r="Z56" s="4"/>
    </row>
    <row r="57" spans="1:26" ht="87.6" customHeight="1" collapsed="1" x14ac:dyDescent="0.25">
      <c r="A57" s="45"/>
      <c r="B57" s="38"/>
      <c r="C57" s="46"/>
      <c r="D57" s="224" t="s">
        <v>203</v>
      </c>
      <c r="E57" s="139"/>
      <c r="F57" s="139"/>
      <c r="G57" s="139"/>
      <c r="H57" s="139"/>
      <c r="I57" s="15" t="s">
        <v>137</v>
      </c>
      <c r="J57" s="6" t="s">
        <v>5</v>
      </c>
      <c r="K57" s="6">
        <v>3</v>
      </c>
      <c r="L57" s="6" t="s">
        <v>4</v>
      </c>
      <c r="M57" s="19">
        <f>M58</f>
        <v>440825.3</v>
      </c>
      <c r="N57" s="19">
        <f>N58</f>
        <v>0</v>
      </c>
      <c r="O57" s="19">
        <f>O58</f>
        <v>440825.3</v>
      </c>
      <c r="P57" s="19">
        <v>440825.3</v>
      </c>
      <c r="Q57" s="19">
        <f>Q58</f>
        <v>1973.2</v>
      </c>
      <c r="R57" s="19">
        <f>R58</f>
        <v>442798.5</v>
      </c>
      <c r="S57" s="19">
        <v>445696.5</v>
      </c>
      <c r="T57" s="19">
        <f>SUM(T58)</f>
        <v>33454.800000000003</v>
      </c>
      <c r="U57" s="19">
        <f t="shared" si="18"/>
        <v>479151.3</v>
      </c>
      <c r="V57" s="19">
        <v>479151.3</v>
      </c>
      <c r="W57" s="19">
        <f>SUM(W58)</f>
        <v>-43.400000000000006</v>
      </c>
      <c r="X57" s="18">
        <f t="shared" si="0"/>
        <v>479107.89999999997</v>
      </c>
      <c r="Y57" s="9" t="s">
        <v>480</v>
      </c>
      <c r="Z57" s="4"/>
    </row>
    <row r="58" spans="1:26" ht="89.25" hidden="1" customHeight="1" outlineLevel="1" x14ac:dyDescent="0.25">
      <c r="A58" s="45"/>
      <c r="B58" s="38"/>
      <c r="C58" s="46"/>
      <c r="D58" s="14"/>
      <c r="E58" s="139" t="s">
        <v>204</v>
      </c>
      <c r="F58" s="139"/>
      <c r="G58" s="139"/>
      <c r="H58" s="139"/>
      <c r="I58" s="15" t="s">
        <v>137</v>
      </c>
      <c r="J58" s="6" t="s">
        <v>5</v>
      </c>
      <c r="K58" s="6" t="s">
        <v>27</v>
      </c>
      <c r="L58" s="6" t="s">
        <v>13</v>
      </c>
      <c r="M58" s="19">
        <v>440825.3</v>
      </c>
      <c r="N58" s="19"/>
      <c r="O58" s="19">
        <f t="shared" si="19"/>
        <v>440825.3</v>
      </c>
      <c r="P58" s="19">
        <v>440825.3</v>
      </c>
      <c r="Q58" s="19">
        <v>1973.2</v>
      </c>
      <c r="R58" s="19">
        <f>SUM(P58:Q58)</f>
        <v>442798.5</v>
      </c>
      <c r="S58" s="19">
        <v>445696.5</v>
      </c>
      <c r="T58" s="19">
        <f>10770.7+8.9+22675.2</f>
        <v>33454.800000000003</v>
      </c>
      <c r="U58" s="19">
        <f t="shared" si="18"/>
        <v>479151.3</v>
      </c>
      <c r="V58" s="19">
        <v>479151.3</v>
      </c>
      <c r="W58" s="19">
        <f>-152.4+109</f>
        <v>-43.400000000000006</v>
      </c>
      <c r="X58" s="18">
        <f t="shared" si="0"/>
        <v>479107.89999999997</v>
      </c>
      <c r="Y58" s="9"/>
      <c r="Z58" s="4"/>
    </row>
    <row r="59" spans="1:26" ht="40.5" customHeight="1" collapsed="1" x14ac:dyDescent="0.25">
      <c r="A59" s="45"/>
      <c r="B59" s="4"/>
      <c r="C59" s="47"/>
      <c r="D59" s="218" t="s">
        <v>322</v>
      </c>
      <c r="E59" s="219"/>
      <c r="F59" s="219"/>
      <c r="G59" s="219"/>
      <c r="H59" s="220"/>
      <c r="I59" s="119" t="s">
        <v>136</v>
      </c>
      <c r="J59" s="120" t="s">
        <v>1</v>
      </c>
      <c r="K59" s="120" t="s">
        <v>4</v>
      </c>
      <c r="L59" s="120" t="s">
        <v>4</v>
      </c>
      <c r="M59" s="108">
        <f>M60</f>
        <v>150</v>
      </c>
      <c r="N59" s="108">
        <f>N60</f>
        <v>0</v>
      </c>
      <c r="O59" s="106">
        <f>SUM(M59:N59)</f>
        <v>150</v>
      </c>
      <c r="P59" s="108">
        <f>P60</f>
        <v>150</v>
      </c>
      <c r="Q59" s="108">
        <f>Q60</f>
        <v>27.5</v>
      </c>
      <c r="R59" s="106">
        <f>SUM(P59:Q59)</f>
        <v>177.5</v>
      </c>
      <c r="S59" s="106">
        <v>227.5</v>
      </c>
      <c r="T59" s="106">
        <f>SUM(T60)</f>
        <v>0</v>
      </c>
      <c r="U59" s="106">
        <f>SUM(S59:T59)</f>
        <v>227.5</v>
      </c>
      <c r="V59" s="106">
        <v>227.5</v>
      </c>
      <c r="W59" s="106">
        <f>SUM(W60)</f>
        <v>0</v>
      </c>
      <c r="X59" s="110">
        <f t="shared" si="0"/>
        <v>227.5</v>
      </c>
      <c r="Y59" s="9"/>
      <c r="Z59" s="4"/>
    </row>
    <row r="60" spans="1:26" ht="36" hidden="1" customHeight="1" outlineLevel="1" x14ac:dyDescent="0.25">
      <c r="A60" s="45"/>
      <c r="B60" s="38"/>
      <c r="C60" s="46"/>
      <c r="D60" s="14"/>
      <c r="E60" s="147" t="s">
        <v>205</v>
      </c>
      <c r="F60" s="139"/>
      <c r="G60" s="139"/>
      <c r="H60" s="139"/>
      <c r="I60" s="15" t="s">
        <v>136</v>
      </c>
      <c r="J60" s="6" t="s">
        <v>1</v>
      </c>
      <c r="K60" s="6" t="s">
        <v>2</v>
      </c>
      <c r="L60" s="6" t="s">
        <v>13</v>
      </c>
      <c r="M60" s="19">
        <v>150</v>
      </c>
      <c r="N60" s="19"/>
      <c r="O60" s="19">
        <f t="shared" si="19"/>
        <v>150</v>
      </c>
      <c r="P60" s="19">
        <v>150</v>
      </c>
      <c r="Q60" s="19">
        <v>27.5</v>
      </c>
      <c r="R60" s="19">
        <f>SUM(P60:Q60)</f>
        <v>177.5</v>
      </c>
      <c r="S60" s="19">
        <v>227.5</v>
      </c>
      <c r="T60" s="19"/>
      <c r="U60" s="19">
        <f t="shared" ref="U60:U63" si="21">SUM(S60:T60)</f>
        <v>227.5</v>
      </c>
      <c r="V60" s="19">
        <v>227.5</v>
      </c>
      <c r="W60" s="19"/>
      <c r="X60" s="18">
        <f t="shared" si="0"/>
        <v>227.5</v>
      </c>
      <c r="Y60" s="9"/>
      <c r="Z60" s="4"/>
    </row>
    <row r="61" spans="1:26" ht="53.25" customHeight="1" collapsed="1" x14ac:dyDescent="0.25">
      <c r="A61" s="45"/>
      <c r="B61" s="4"/>
      <c r="C61" s="47"/>
      <c r="D61" s="218" t="s">
        <v>299</v>
      </c>
      <c r="E61" s="219"/>
      <c r="F61" s="219"/>
      <c r="G61" s="219"/>
      <c r="H61" s="220"/>
      <c r="I61" s="119" t="s">
        <v>135</v>
      </c>
      <c r="J61" s="120" t="s">
        <v>134</v>
      </c>
      <c r="K61" s="120" t="s">
        <v>4</v>
      </c>
      <c r="L61" s="120" t="s">
        <v>4</v>
      </c>
      <c r="M61" s="108">
        <f>M62</f>
        <v>22049.200000000001</v>
      </c>
      <c r="N61" s="108">
        <f>N62</f>
        <v>0</v>
      </c>
      <c r="O61" s="106">
        <f>SUM(M61:N61)</f>
        <v>22049.200000000001</v>
      </c>
      <c r="P61" s="108">
        <f>P62</f>
        <v>22049.200000000001</v>
      </c>
      <c r="Q61" s="108">
        <f>Q62</f>
        <v>594.5</v>
      </c>
      <c r="R61" s="106">
        <f>SUM(P61:Q61)</f>
        <v>22643.7</v>
      </c>
      <c r="S61" s="106">
        <v>23573.7</v>
      </c>
      <c r="T61" s="106">
        <f>SUM(T62)</f>
        <v>2126</v>
      </c>
      <c r="U61" s="106">
        <f t="shared" si="21"/>
        <v>25699.7</v>
      </c>
      <c r="V61" s="106">
        <v>25699.7</v>
      </c>
      <c r="W61" s="106">
        <f>SUM(W62)</f>
        <v>2</v>
      </c>
      <c r="X61" s="110">
        <f t="shared" si="0"/>
        <v>25701.7</v>
      </c>
      <c r="Y61" s="81" t="s">
        <v>473</v>
      </c>
      <c r="Z61" s="4"/>
    </row>
    <row r="62" spans="1:26" ht="84.75" hidden="1" customHeight="1" outlineLevel="1" x14ac:dyDescent="0.25">
      <c r="A62" s="45"/>
      <c r="B62" s="38"/>
      <c r="C62" s="46"/>
      <c r="D62" s="14"/>
      <c r="E62" s="139" t="s">
        <v>378</v>
      </c>
      <c r="F62" s="139"/>
      <c r="G62" s="139"/>
      <c r="H62" s="139"/>
      <c r="I62" s="15" t="s">
        <v>135</v>
      </c>
      <c r="J62" s="6" t="s">
        <v>134</v>
      </c>
      <c r="K62" s="6" t="s">
        <v>2</v>
      </c>
      <c r="L62" s="6" t="s">
        <v>13</v>
      </c>
      <c r="M62" s="19">
        <v>22049.200000000001</v>
      </c>
      <c r="N62" s="19"/>
      <c r="O62" s="19">
        <f t="shared" si="19"/>
        <v>22049.200000000001</v>
      </c>
      <c r="P62" s="19">
        <v>22049.200000000001</v>
      </c>
      <c r="Q62" s="19">
        <v>594.5</v>
      </c>
      <c r="R62" s="19">
        <f>SUM(P62:Q62)</f>
        <v>22643.7</v>
      </c>
      <c r="S62" s="19">
        <v>23573.7</v>
      </c>
      <c r="T62" s="19">
        <f>541+300+1285</f>
        <v>2126</v>
      </c>
      <c r="U62" s="19">
        <f t="shared" si="21"/>
        <v>25699.7</v>
      </c>
      <c r="V62" s="19">
        <v>25699.7</v>
      </c>
      <c r="W62" s="19">
        <v>2</v>
      </c>
      <c r="X62" s="18">
        <f t="shared" si="0"/>
        <v>25701.7</v>
      </c>
      <c r="Y62" s="81"/>
      <c r="Z62" s="4"/>
    </row>
    <row r="63" spans="1:26" ht="42" customHeight="1" collapsed="1" x14ac:dyDescent="0.25">
      <c r="A63" s="45"/>
      <c r="B63" s="4"/>
      <c r="C63" s="47"/>
      <c r="D63" s="218" t="s">
        <v>361</v>
      </c>
      <c r="E63" s="225"/>
      <c r="F63" s="225"/>
      <c r="G63" s="225"/>
      <c r="H63" s="226"/>
      <c r="I63" s="122" t="s">
        <v>133</v>
      </c>
      <c r="J63" s="123" t="s">
        <v>124</v>
      </c>
      <c r="K63" s="123" t="s">
        <v>4</v>
      </c>
      <c r="L63" s="123" t="s">
        <v>4</v>
      </c>
      <c r="M63" s="106">
        <f>M64+M69+M74</f>
        <v>256334.6</v>
      </c>
      <c r="N63" s="106">
        <f>N64+N69+N74</f>
        <v>3393.2</v>
      </c>
      <c r="O63" s="106">
        <f>O64+O69+O74</f>
        <v>259727.80000000002</v>
      </c>
      <c r="P63" s="106">
        <v>259727.80000000002</v>
      </c>
      <c r="Q63" s="106">
        <f>Q64+Q69+Q74</f>
        <v>3038.5999999999995</v>
      </c>
      <c r="R63" s="106">
        <f>R64+R69+R74</f>
        <v>262766.40000000002</v>
      </c>
      <c r="S63" s="106">
        <v>266181</v>
      </c>
      <c r="T63" s="106">
        <f>SUM(T64+T69+T74)</f>
        <v>18901.2</v>
      </c>
      <c r="U63" s="106">
        <f t="shared" si="21"/>
        <v>285082.2</v>
      </c>
      <c r="V63" s="106">
        <v>285082.2</v>
      </c>
      <c r="W63" s="106">
        <f>SUM(W64+W69+W74)</f>
        <v>190</v>
      </c>
      <c r="X63" s="110">
        <f t="shared" si="0"/>
        <v>285272.2</v>
      </c>
      <c r="Y63" s="9"/>
      <c r="Z63" s="4"/>
    </row>
    <row r="64" spans="1:26" ht="42.75" customHeight="1" x14ac:dyDescent="0.25">
      <c r="A64" s="45"/>
      <c r="B64" s="38"/>
      <c r="C64" s="46"/>
      <c r="D64" s="224" t="s">
        <v>206</v>
      </c>
      <c r="E64" s="139"/>
      <c r="F64" s="139"/>
      <c r="G64" s="139"/>
      <c r="H64" s="139"/>
      <c r="I64" s="15" t="s">
        <v>132</v>
      </c>
      <c r="J64" s="6" t="s">
        <v>124</v>
      </c>
      <c r="K64" s="6">
        <v>1</v>
      </c>
      <c r="L64" s="6" t="s">
        <v>4</v>
      </c>
      <c r="M64" s="19">
        <f>M65+M66+M67+M68</f>
        <v>243479.7</v>
      </c>
      <c r="N64" s="19">
        <f>N65+N66+N67+N68</f>
        <v>2393.1999999999998</v>
      </c>
      <c r="O64" s="19">
        <f>SUM(M64:N64)</f>
        <v>245872.90000000002</v>
      </c>
      <c r="P64" s="19">
        <v>245872.90000000002</v>
      </c>
      <c r="Q64" s="19">
        <f>Q65+Q66+Q67+Q68</f>
        <v>1677.2999999999995</v>
      </c>
      <c r="R64" s="19">
        <f>SUM(P64:Q64)</f>
        <v>247550.2</v>
      </c>
      <c r="S64" s="19">
        <v>251911.40000000002</v>
      </c>
      <c r="T64" s="19">
        <f>SUM(T65+T66+T67+T68)</f>
        <v>19115.900000000001</v>
      </c>
      <c r="U64" s="19">
        <f>SUM(S64:T64)</f>
        <v>271027.30000000005</v>
      </c>
      <c r="V64" s="19">
        <v>271027.30000000005</v>
      </c>
      <c r="W64" s="19">
        <f>SUM(W65+W66+W67+W68)</f>
        <v>190</v>
      </c>
      <c r="X64" s="18">
        <f t="shared" si="0"/>
        <v>271217.30000000005</v>
      </c>
      <c r="Y64" s="9" t="s">
        <v>474</v>
      </c>
      <c r="Z64" s="4"/>
    </row>
    <row r="65" spans="1:26" ht="38.25" hidden="1" customHeight="1" outlineLevel="1" x14ac:dyDescent="0.25">
      <c r="A65" s="45"/>
      <c r="B65" s="38"/>
      <c r="C65" s="46"/>
      <c r="D65" s="14"/>
      <c r="E65" s="139" t="s">
        <v>207</v>
      </c>
      <c r="F65" s="139"/>
      <c r="G65" s="139"/>
      <c r="H65" s="139"/>
      <c r="I65" s="15" t="s">
        <v>131</v>
      </c>
      <c r="J65" s="6" t="s">
        <v>124</v>
      </c>
      <c r="K65" s="6" t="s">
        <v>23</v>
      </c>
      <c r="L65" s="6" t="s">
        <v>13</v>
      </c>
      <c r="M65" s="19">
        <v>200</v>
      </c>
      <c r="N65" s="19"/>
      <c r="O65" s="19">
        <f t="shared" ref="O65:O80" si="22">SUM(M65:N65)</f>
        <v>200</v>
      </c>
      <c r="P65" s="19">
        <v>200</v>
      </c>
      <c r="Q65" s="19"/>
      <c r="R65" s="19">
        <f>SUM(P65:Q65)</f>
        <v>200</v>
      </c>
      <c r="S65" s="19">
        <v>200</v>
      </c>
      <c r="T65" s="19"/>
      <c r="U65" s="19">
        <f t="shared" ref="U65:U76" si="23">SUM(S65:T65)</f>
        <v>200</v>
      </c>
      <c r="V65" s="19">
        <v>200</v>
      </c>
      <c r="W65" s="19"/>
      <c r="X65" s="18">
        <f t="shared" si="0"/>
        <v>200</v>
      </c>
      <c r="Y65" s="9"/>
      <c r="Z65" s="4"/>
    </row>
    <row r="66" spans="1:26" ht="36" hidden="1" customHeight="1" outlineLevel="1" x14ac:dyDescent="0.25">
      <c r="A66" s="45"/>
      <c r="B66" s="38"/>
      <c r="C66" s="46"/>
      <c r="D66" s="14"/>
      <c r="E66" s="139" t="s">
        <v>208</v>
      </c>
      <c r="F66" s="139"/>
      <c r="G66" s="139"/>
      <c r="H66" s="139"/>
      <c r="I66" s="15" t="s">
        <v>130</v>
      </c>
      <c r="J66" s="6" t="s">
        <v>124</v>
      </c>
      <c r="K66" s="6" t="s">
        <v>23</v>
      </c>
      <c r="L66" s="6" t="s">
        <v>11</v>
      </c>
      <c r="M66" s="19">
        <v>200</v>
      </c>
      <c r="N66" s="19"/>
      <c r="O66" s="19">
        <f t="shared" si="22"/>
        <v>200</v>
      </c>
      <c r="P66" s="19">
        <v>200</v>
      </c>
      <c r="Q66" s="19"/>
      <c r="R66" s="19">
        <f>SUM(P66:Q66)</f>
        <v>200</v>
      </c>
      <c r="S66" s="19">
        <v>200</v>
      </c>
      <c r="T66" s="19"/>
      <c r="U66" s="19">
        <f t="shared" si="23"/>
        <v>200</v>
      </c>
      <c r="V66" s="19">
        <v>200</v>
      </c>
      <c r="W66" s="19"/>
      <c r="X66" s="18">
        <f t="shared" si="0"/>
        <v>200</v>
      </c>
      <c r="Y66" s="9"/>
      <c r="Z66" s="4"/>
    </row>
    <row r="67" spans="1:26" ht="75.75" hidden="1" customHeight="1" outlineLevel="1" x14ac:dyDescent="0.25">
      <c r="A67" s="45"/>
      <c r="B67" s="38"/>
      <c r="C67" s="46"/>
      <c r="D67" s="14"/>
      <c r="E67" s="139" t="s">
        <v>209</v>
      </c>
      <c r="F67" s="139"/>
      <c r="G67" s="139"/>
      <c r="H67" s="139"/>
      <c r="I67" s="15" t="s">
        <v>129</v>
      </c>
      <c r="J67" s="6" t="s">
        <v>124</v>
      </c>
      <c r="K67" s="6" t="s">
        <v>23</v>
      </c>
      <c r="L67" s="6" t="s">
        <v>10</v>
      </c>
      <c r="M67" s="19">
        <v>2250</v>
      </c>
      <c r="N67" s="19">
        <f>1460.2+933</f>
        <v>2393.1999999999998</v>
      </c>
      <c r="O67" s="19">
        <f t="shared" si="22"/>
        <v>4643.2</v>
      </c>
      <c r="P67" s="19">
        <v>4643.2</v>
      </c>
      <c r="Q67" s="19">
        <f>-1161.3+2300</f>
        <v>1138.7</v>
      </c>
      <c r="R67" s="19">
        <f>SUM(P67:Q67)</f>
        <v>5781.9</v>
      </c>
      <c r="S67" s="19">
        <v>6059.4</v>
      </c>
      <c r="T67" s="19"/>
      <c r="U67" s="19">
        <f t="shared" si="23"/>
        <v>6059.4</v>
      </c>
      <c r="V67" s="19">
        <v>6059.4</v>
      </c>
      <c r="W67" s="19"/>
      <c r="X67" s="18">
        <f t="shared" si="0"/>
        <v>6059.4</v>
      </c>
      <c r="Y67" s="9"/>
      <c r="Z67" s="4"/>
    </row>
    <row r="68" spans="1:26" ht="125.25" hidden="1" customHeight="1" outlineLevel="1" x14ac:dyDescent="0.25">
      <c r="A68" s="45"/>
      <c r="B68" s="38"/>
      <c r="C68" s="46"/>
      <c r="D68" s="14"/>
      <c r="E68" s="139" t="s">
        <v>210</v>
      </c>
      <c r="F68" s="139"/>
      <c r="G68" s="139"/>
      <c r="H68" s="139"/>
      <c r="I68" s="15" t="s">
        <v>128</v>
      </c>
      <c r="J68" s="6" t="s">
        <v>124</v>
      </c>
      <c r="K68" s="6" t="s">
        <v>23</v>
      </c>
      <c r="L68" s="6" t="s">
        <v>7</v>
      </c>
      <c r="M68" s="19">
        <v>240829.7</v>
      </c>
      <c r="N68" s="19"/>
      <c r="O68" s="19">
        <f t="shared" si="22"/>
        <v>240829.7</v>
      </c>
      <c r="P68" s="19">
        <v>240829.7</v>
      </c>
      <c r="Q68" s="19">
        <f>-1524.3+4362.9-2300</f>
        <v>538.59999999999945</v>
      </c>
      <c r="R68" s="19">
        <f>SUM(P68:Q68)</f>
        <v>241368.30000000002</v>
      </c>
      <c r="S68" s="19">
        <v>245452.00000000003</v>
      </c>
      <c r="T68" s="19">
        <f>5102.9+14013</f>
        <v>19115.900000000001</v>
      </c>
      <c r="U68" s="19">
        <f t="shared" si="23"/>
        <v>264567.90000000002</v>
      </c>
      <c r="V68" s="19">
        <v>264567.90000000002</v>
      </c>
      <c r="W68" s="19">
        <v>190</v>
      </c>
      <c r="X68" s="18">
        <f t="shared" si="0"/>
        <v>264757.90000000002</v>
      </c>
      <c r="Y68" s="9" t="s">
        <v>474</v>
      </c>
      <c r="Z68" s="4"/>
    </row>
    <row r="69" spans="1:26" ht="36.75" customHeight="1" collapsed="1" x14ac:dyDescent="0.25">
      <c r="A69" s="45"/>
      <c r="B69" s="38"/>
      <c r="C69" s="46"/>
      <c r="D69" s="224" t="s">
        <v>211</v>
      </c>
      <c r="E69" s="139"/>
      <c r="F69" s="139"/>
      <c r="G69" s="139"/>
      <c r="H69" s="139"/>
      <c r="I69" s="15" t="s">
        <v>127</v>
      </c>
      <c r="J69" s="6" t="s">
        <v>124</v>
      </c>
      <c r="K69" s="6" t="s">
        <v>18</v>
      </c>
      <c r="L69" s="6" t="s">
        <v>4</v>
      </c>
      <c r="M69" s="19">
        <f>M70+M71+M72+M73</f>
        <v>12854.900000000001</v>
      </c>
      <c r="N69" s="19">
        <f>N70+N71+N72+N73</f>
        <v>1000</v>
      </c>
      <c r="O69" s="19">
        <f>O70+O71+O72+O73</f>
        <v>13854.900000000001</v>
      </c>
      <c r="P69" s="19">
        <v>13854.900000000001</v>
      </c>
      <c r="Q69" s="19">
        <f>Q70+Q71+Q72+Q73</f>
        <v>1361.3</v>
      </c>
      <c r="R69" s="19">
        <f>R70+R71+R72+R73</f>
        <v>15216.2</v>
      </c>
      <c r="S69" s="19">
        <v>14269.6</v>
      </c>
      <c r="T69" s="19">
        <f>SUM(T70+T71+T72+T73)</f>
        <v>-214.7</v>
      </c>
      <c r="U69" s="19">
        <f t="shared" si="23"/>
        <v>14054.9</v>
      </c>
      <c r="V69" s="19">
        <v>14054.9</v>
      </c>
      <c r="W69" s="19">
        <f>SUM(W70+W71+W72+W73)</f>
        <v>0</v>
      </c>
      <c r="X69" s="18">
        <f t="shared" si="0"/>
        <v>14054.9</v>
      </c>
      <c r="Y69" s="9"/>
      <c r="Z69" s="4"/>
    </row>
    <row r="70" spans="1:26" ht="50.25" hidden="1" customHeight="1" outlineLevel="1" x14ac:dyDescent="0.25">
      <c r="A70" s="45"/>
      <c r="B70" s="38"/>
      <c r="C70" s="46"/>
      <c r="D70" s="14"/>
      <c r="E70" s="139" t="s">
        <v>376</v>
      </c>
      <c r="F70" s="139"/>
      <c r="G70" s="139"/>
      <c r="H70" s="139"/>
      <c r="I70" s="15" t="s">
        <v>126</v>
      </c>
      <c r="J70" s="6" t="s">
        <v>124</v>
      </c>
      <c r="K70" s="6" t="s">
        <v>18</v>
      </c>
      <c r="L70" s="6" t="s">
        <v>13</v>
      </c>
      <c r="M70" s="19">
        <v>7246.6</v>
      </c>
      <c r="N70" s="19"/>
      <c r="O70" s="19">
        <f t="shared" si="22"/>
        <v>7246.6</v>
      </c>
      <c r="P70" s="19">
        <v>7246.6</v>
      </c>
      <c r="Q70" s="19">
        <f>200</f>
        <v>200</v>
      </c>
      <c r="R70" s="19">
        <f>SUM(P70:Q70)</f>
        <v>7446.6</v>
      </c>
      <c r="S70" s="19">
        <v>7446.6</v>
      </c>
      <c r="T70" s="19">
        <f>0.1</f>
        <v>0.1</v>
      </c>
      <c r="U70" s="19">
        <f t="shared" si="23"/>
        <v>7446.7000000000007</v>
      </c>
      <c r="V70" s="19">
        <v>7446.7000000000007</v>
      </c>
      <c r="W70" s="19"/>
      <c r="X70" s="18">
        <f t="shared" si="0"/>
        <v>7446.7000000000007</v>
      </c>
      <c r="Y70" s="9"/>
      <c r="Z70" s="4"/>
    </row>
    <row r="71" spans="1:26" ht="78.75" hidden="1" customHeight="1" outlineLevel="1" x14ac:dyDescent="0.25">
      <c r="A71" s="45"/>
      <c r="B71" s="38"/>
      <c r="C71" s="46"/>
      <c r="D71" s="14"/>
      <c r="E71" s="139" t="s">
        <v>212</v>
      </c>
      <c r="F71" s="139"/>
      <c r="G71" s="139"/>
      <c r="H71" s="139"/>
      <c r="I71" s="15" t="s">
        <v>125</v>
      </c>
      <c r="J71" s="6" t="s">
        <v>124</v>
      </c>
      <c r="K71" s="6" t="s">
        <v>18</v>
      </c>
      <c r="L71" s="6" t="s">
        <v>26</v>
      </c>
      <c r="M71" s="19">
        <v>4385.8</v>
      </c>
      <c r="N71" s="19">
        <f>1000</f>
        <v>1000</v>
      </c>
      <c r="O71" s="19">
        <f t="shared" si="22"/>
        <v>5385.8</v>
      </c>
      <c r="P71" s="19">
        <v>5385.8</v>
      </c>
      <c r="Q71" s="19"/>
      <c r="R71" s="19">
        <f>SUM(P71:Q71)</f>
        <v>5385.8</v>
      </c>
      <c r="S71" s="19">
        <v>5385.8</v>
      </c>
      <c r="T71" s="19">
        <f>-0.1</f>
        <v>-0.1</v>
      </c>
      <c r="U71" s="19">
        <f t="shared" si="23"/>
        <v>5385.7</v>
      </c>
      <c r="V71" s="19">
        <v>5385.7</v>
      </c>
      <c r="W71" s="19"/>
      <c r="X71" s="18">
        <f t="shared" si="0"/>
        <v>5385.7</v>
      </c>
      <c r="Y71" s="9"/>
      <c r="Z71" s="4"/>
    </row>
    <row r="72" spans="1:26" ht="46.5" hidden="1" customHeight="1" outlineLevel="1" x14ac:dyDescent="0.25">
      <c r="A72" s="45"/>
      <c r="B72" s="4"/>
      <c r="C72" s="48"/>
      <c r="D72" s="14"/>
      <c r="E72" s="139" t="s">
        <v>341</v>
      </c>
      <c r="F72" s="139"/>
      <c r="G72" s="139"/>
      <c r="H72" s="139"/>
      <c r="I72" s="15">
        <v>920400000</v>
      </c>
      <c r="J72" s="6" t="s">
        <v>124</v>
      </c>
      <c r="K72" s="6" t="s">
        <v>18</v>
      </c>
      <c r="L72" s="11" t="s">
        <v>10</v>
      </c>
      <c r="M72" s="19">
        <v>1222.5</v>
      </c>
      <c r="N72" s="19">
        <f>-1222.5</f>
        <v>-1222.5</v>
      </c>
      <c r="O72" s="19">
        <f>SUM(M72:N72)</f>
        <v>0</v>
      </c>
      <c r="P72" s="19">
        <v>0</v>
      </c>
      <c r="Q72" s="19"/>
      <c r="R72" s="19">
        <f>SUM(P72:Q72)</f>
        <v>0</v>
      </c>
      <c r="S72" s="19">
        <v>214.7</v>
      </c>
      <c r="T72" s="19">
        <v>-214.7</v>
      </c>
      <c r="U72" s="19">
        <f t="shared" si="23"/>
        <v>0</v>
      </c>
      <c r="V72" s="19">
        <v>0</v>
      </c>
      <c r="W72" s="19"/>
      <c r="X72" s="18">
        <f t="shared" si="0"/>
        <v>0</v>
      </c>
      <c r="Y72" s="9"/>
      <c r="Z72" s="4"/>
    </row>
    <row r="73" spans="1:26" ht="47.25" hidden="1" customHeight="1" outlineLevel="1" x14ac:dyDescent="0.25">
      <c r="A73" s="45"/>
      <c r="B73" s="4"/>
      <c r="C73" s="48"/>
      <c r="D73" s="14"/>
      <c r="E73" s="139" t="s">
        <v>348</v>
      </c>
      <c r="F73" s="139"/>
      <c r="G73" s="139"/>
      <c r="H73" s="139"/>
      <c r="I73" s="15">
        <v>920400000</v>
      </c>
      <c r="J73" s="6" t="s">
        <v>124</v>
      </c>
      <c r="K73" s="6" t="s">
        <v>18</v>
      </c>
      <c r="L73" s="11" t="s">
        <v>7</v>
      </c>
      <c r="M73" s="19">
        <v>0</v>
      </c>
      <c r="N73" s="19">
        <v>1222.5</v>
      </c>
      <c r="O73" s="19">
        <f t="shared" si="22"/>
        <v>1222.5</v>
      </c>
      <c r="P73" s="19">
        <v>1222.5</v>
      </c>
      <c r="Q73" s="19">
        <f>1161.3</f>
        <v>1161.3</v>
      </c>
      <c r="R73" s="19">
        <f>SUM(P73:Q73)</f>
        <v>2383.8000000000002</v>
      </c>
      <c r="S73" s="19">
        <v>1222.5000000000002</v>
      </c>
      <c r="T73" s="19"/>
      <c r="U73" s="19">
        <f t="shared" si="23"/>
        <v>1222.5000000000002</v>
      </c>
      <c r="V73" s="19">
        <v>1222.5000000000002</v>
      </c>
      <c r="W73" s="19"/>
      <c r="X73" s="18">
        <f t="shared" si="0"/>
        <v>1222.5000000000002</v>
      </c>
      <c r="Y73" s="9"/>
      <c r="Z73" s="4"/>
    </row>
    <row r="74" spans="1:26" ht="34.200000000000003" customHeight="1" collapsed="1" x14ac:dyDescent="0.25">
      <c r="A74" s="45"/>
      <c r="B74" s="4"/>
      <c r="C74" s="48"/>
      <c r="D74" s="14"/>
      <c r="E74" s="224" t="s">
        <v>365</v>
      </c>
      <c r="F74" s="139"/>
      <c r="G74" s="139"/>
      <c r="H74" s="139"/>
      <c r="I74" s="139"/>
      <c r="J74" s="6" t="s">
        <v>124</v>
      </c>
      <c r="K74" s="6">
        <v>3</v>
      </c>
      <c r="L74" s="11"/>
      <c r="M74" s="19">
        <f>SUM(M75+M76)</f>
        <v>0</v>
      </c>
      <c r="N74" s="19">
        <f>SUM(N75+N76)</f>
        <v>0</v>
      </c>
      <c r="O74" s="19">
        <f>SUM(O75+O76)</f>
        <v>0</v>
      </c>
      <c r="P74" s="19">
        <v>0</v>
      </c>
      <c r="Q74" s="19">
        <f>SUM(Q75+Q76)</f>
        <v>0</v>
      </c>
      <c r="R74" s="19">
        <f>SUM(R75+R76)</f>
        <v>0</v>
      </c>
      <c r="S74" s="19">
        <v>0</v>
      </c>
      <c r="T74" s="19">
        <f>SUM(T75+T76)</f>
        <v>0</v>
      </c>
      <c r="U74" s="19">
        <f t="shared" si="23"/>
        <v>0</v>
      </c>
      <c r="V74" s="19">
        <v>0</v>
      </c>
      <c r="W74" s="19">
        <f>SUM(W75+W76)</f>
        <v>0</v>
      </c>
      <c r="X74" s="18">
        <f t="shared" ref="X74:X137" si="24">SUM(V74:W74)</f>
        <v>0</v>
      </c>
      <c r="Y74" s="9"/>
      <c r="Z74" s="4"/>
    </row>
    <row r="75" spans="1:26" ht="47.25" hidden="1" customHeight="1" outlineLevel="1" x14ac:dyDescent="0.25">
      <c r="A75" s="45"/>
      <c r="B75" s="4"/>
      <c r="C75" s="48"/>
      <c r="D75" s="14"/>
      <c r="E75" s="139" t="s">
        <v>363</v>
      </c>
      <c r="F75" s="139"/>
      <c r="G75" s="139"/>
      <c r="H75" s="139"/>
      <c r="I75" s="16"/>
      <c r="J75" s="7" t="s">
        <v>124</v>
      </c>
      <c r="K75" s="7">
        <v>3</v>
      </c>
      <c r="L75" s="7" t="s">
        <v>13</v>
      </c>
      <c r="M75" s="18">
        <v>0</v>
      </c>
      <c r="N75" s="18"/>
      <c r="O75" s="19">
        <f t="shared" si="22"/>
        <v>0</v>
      </c>
      <c r="P75" s="19">
        <v>0</v>
      </c>
      <c r="Q75" s="18"/>
      <c r="R75" s="19">
        <f t="shared" ref="R75:R87" si="25">SUM(P75:Q75)</f>
        <v>0</v>
      </c>
      <c r="S75" s="19">
        <v>0</v>
      </c>
      <c r="T75" s="19"/>
      <c r="U75" s="19">
        <f t="shared" si="23"/>
        <v>0</v>
      </c>
      <c r="V75" s="19">
        <v>0</v>
      </c>
      <c r="W75" s="19"/>
      <c r="X75" s="18">
        <f t="shared" si="24"/>
        <v>0</v>
      </c>
      <c r="Y75" s="9"/>
      <c r="Z75" s="4"/>
    </row>
    <row r="76" spans="1:26" ht="47.25" hidden="1" customHeight="1" outlineLevel="1" x14ac:dyDescent="0.25">
      <c r="A76" s="45"/>
      <c r="B76" s="4"/>
      <c r="C76" s="48"/>
      <c r="D76" s="14"/>
      <c r="E76" s="139" t="s">
        <v>364</v>
      </c>
      <c r="F76" s="139"/>
      <c r="G76" s="139"/>
      <c r="H76" s="139"/>
      <c r="I76" s="16"/>
      <c r="J76" s="7">
        <v>9</v>
      </c>
      <c r="K76" s="7">
        <v>3</v>
      </c>
      <c r="L76" s="88" t="s">
        <v>13</v>
      </c>
      <c r="M76" s="18">
        <v>0</v>
      </c>
      <c r="N76" s="18"/>
      <c r="O76" s="19">
        <f t="shared" si="22"/>
        <v>0</v>
      </c>
      <c r="P76" s="19">
        <v>0</v>
      </c>
      <c r="Q76" s="18"/>
      <c r="R76" s="19">
        <f t="shared" si="25"/>
        <v>0</v>
      </c>
      <c r="S76" s="19">
        <v>0</v>
      </c>
      <c r="T76" s="19"/>
      <c r="U76" s="19">
        <f t="shared" si="23"/>
        <v>0</v>
      </c>
      <c r="V76" s="19">
        <v>0</v>
      </c>
      <c r="W76" s="19"/>
      <c r="X76" s="18">
        <f t="shared" si="24"/>
        <v>0</v>
      </c>
      <c r="Y76" s="9"/>
      <c r="Z76" s="4"/>
    </row>
    <row r="77" spans="1:26" ht="87" customHeight="1" collapsed="1" x14ac:dyDescent="0.25">
      <c r="A77" s="45"/>
      <c r="B77" s="4"/>
      <c r="C77" s="47"/>
      <c r="D77" s="218" t="s">
        <v>312</v>
      </c>
      <c r="E77" s="219"/>
      <c r="F77" s="219"/>
      <c r="G77" s="219"/>
      <c r="H77" s="220"/>
      <c r="I77" s="119" t="s">
        <v>123</v>
      </c>
      <c r="J77" s="120" t="s">
        <v>120</v>
      </c>
      <c r="K77" s="120" t="s">
        <v>4</v>
      </c>
      <c r="L77" s="120" t="s">
        <v>4</v>
      </c>
      <c r="M77" s="108">
        <f>M78+M79+M80</f>
        <v>10000</v>
      </c>
      <c r="N77" s="108">
        <f>N78+N79+N80</f>
        <v>-219.8</v>
      </c>
      <c r="O77" s="106">
        <f>SUM(M77:N77)</f>
        <v>9780.2000000000007</v>
      </c>
      <c r="P77" s="108">
        <f>P78+P79+P80</f>
        <v>9930.2000000000007</v>
      </c>
      <c r="Q77" s="108">
        <f>Q78+Q79+Q80</f>
        <v>-370.1</v>
      </c>
      <c r="R77" s="106">
        <f t="shared" si="25"/>
        <v>9560.1</v>
      </c>
      <c r="S77" s="106">
        <v>20037.400000000001</v>
      </c>
      <c r="T77" s="106">
        <f>SUM(T78+T79+T80)</f>
        <v>-2485.3000000000002</v>
      </c>
      <c r="U77" s="106">
        <f>SUM(S77:T77)</f>
        <v>17552.100000000002</v>
      </c>
      <c r="V77" s="106">
        <v>17552.100000000002</v>
      </c>
      <c r="W77" s="108">
        <f>W78+W79+W80</f>
        <v>284.5</v>
      </c>
      <c r="X77" s="110">
        <f t="shared" si="24"/>
        <v>17836.600000000002</v>
      </c>
      <c r="Y77" s="129" t="s">
        <v>471</v>
      </c>
      <c r="Z77" s="4"/>
    </row>
    <row r="78" spans="1:26" ht="34.5" hidden="1" customHeight="1" outlineLevel="1" x14ac:dyDescent="0.25">
      <c r="A78" s="45"/>
      <c r="B78" s="38"/>
      <c r="C78" s="46"/>
      <c r="D78" s="14"/>
      <c r="E78" s="140" t="s">
        <v>213</v>
      </c>
      <c r="F78" s="141"/>
      <c r="G78" s="141"/>
      <c r="H78" s="142"/>
      <c r="I78" s="15" t="s">
        <v>122</v>
      </c>
      <c r="J78" s="6" t="s">
        <v>120</v>
      </c>
      <c r="K78" s="6" t="s">
        <v>2</v>
      </c>
      <c r="L78" s="6" t="s">
        <v>13</v>
      </c>
      <c r="M78" s="19">
        <v>0</v>
      </c>
      <c r="N78" s="19"/>
      <c r="O78" s="19">
        <f t="shared" si="22"/>
        <v>0</v>
      </c>
      <c r="P78" s="19">
        <v>0</v>
      </c>
      <c r="Q78" s="19"/>
      <c r="R78" s="19">
        <f t="shared" si="25"/>
        <v>0</v>
      </c>
      <c r="S78" s="19">
        <v>0</v>
      </c>
      <c r="T78" s="19"/>
      <c r="U78" s="19">
        <f t="shared" ref="U78:U81" si="26">SUM(S78:T78)</f>
        <v>0</v>
      </c>
      <c r="V78" s="19">
        <v>0</v>
      </c>
      <c r="W78" s="19"/>
      <c r="X78" s="18">
        <f t="shared" si="24"/>
        <v>0</v>
      </c>
      <c r="Y78" s="9"/>
      <c r="Z78" s="4"/>
    </row>
    <row r="79" spans="1:26" ht="62.25" hidden="1" customHeight="1" outlineLevel="1" x14ac:dyDescent="0.25">
      <c r="A79" s="45"/>
      <c r="B79" s="38"/>
      <c r="C79" s="46"/>
      <c r="D79" s="14"/>
      <c r="E79" s="139" t="s">
        <v>214</v>
      </c>
      <c r="F79" s="139"/>
      <c r="G79" s="139"/>
      <c r="H79" s="139"/>
      <c r="I79" s="15" t="s">
        <v>121</v>
      </c>
      <c r="J79" s="6">
        <v>10</v>
      </c>
      <c r="K79" s="6" t="s">
        <v>2</v>
      </c>
      <c r="L79" s="6" t="s">
        <v>11</v>
      </c>
      <c r="M79" s="19">
        <v>9300</v>
      </c>
      <c r="N79" s="19">
        <f>-219.8</f>
        <v>-219.8</v>
      </c>
      <c r="O79" s="19">
        <f t="shared" si="22"/>
        <v>9080.2000000000007</v>
      </c>
      <c r="P79" s="19">
        <f>9080.2+150</f>
        <v>9230.2000000000007</v>
      </c>
      <c r="Q79" s="19">
        <f>-355.1</f>
        <v>-355.1</v>
      </c>
      <c r="R79" s="19">
        <f t="shared" si="25"/>
        <v>8875.1</v>
      </c>
      <c r="S79" s="19">
        <v>18776.599999999999</v>
      </c>
      <c r="T79" s="19">
        <v>-2700</v>
      </c>
      <c r="U79" s="19">
        <f t="shared" si="26"/>
        <v>16076.599999999999</v>
      </c>
      <c r="V79" s="19">
        <v>16076.599999999999</v>
      </c>
      <c r="W79" s="19">
        <f>66.5+218</f>
        <v>284.5</v>
      </c>
      <c r="X79" s="18">
        <f t="shared" si="24"/>
        <v>16361.099999999999</v>
      </c>
      <c r="Y79" s="9" t="s">
        <v>468</v>
      </c>
      <c r="Z79" s="4"/>
    </row>
    <row r="80" spans="1:26" ht="45.75" hidden="1" customHeight="1" outlineLevel="1" x14ac:dyDescent="0.25">
      <c r="A80" s="45"/>
      <c r="B80" s="38"/>
      <c r="C80" s="46"/>
      <c r="D80" s="14"/>
      <c r="E80" s="147" t="s">
        <v>215</v>
      </c>
      <c r="F80" s="139"/>
      <c r="G80" s="139"/>
      <c r="H80" s="139"/>
      <c r="I80" s="15" t="s">
        <v>119</v>
      </c>
      <c r="J80" s="6" t="s">
        <v>120</v>
      </c>
      <c r="K80" s="6" t="s">
        <v>2</v>
      </c>
      <c r="L80" s="6" t="s">
        <v>26</v>
      </c>
      <c r="M80" s="19">
        <v>700</v>
      </c>
      <c r="N80" s="19"/>
      <c r="O80" s="19">
        <f t="shared" si="22"/>
        <v>700</v>
      </c>
      <c r="P80" s="19">
        <v>700</v>
      </c>
      <c r="Q80" s="19">
        <v>-15</v>
      </c>
      <c r="R80" s="19">
        <f t="shared" si="25"/>
        <v>685</v>
      </c>
      <c r="S80" s="19">
        <v>1260.8</v>
      </c>
      <c r="T80" s="19">
        <v>214.7</v>
      </c>
      <c r="U80" s="19">
        <f t="shared" si="26"/>
        <v>1475.5</v>
      </c>
      <c r="V80" s="19">
        <v>1475.5</v>
      </c>
      <c r="W80" s="19"/>
      <c r="X80" s="18">
        <f t="shared" si="24"/>
        <v>1475.5</v>
      </c>
      <c r="Y80" s="9"/>
      <c r="Z80" s="4"/>
    </row>
    <row r="81" spans="1:27" ht="63" customHeight="1" collapsed="1" x14ac:dyDescent="0.25">
      <c r="A81" s="45"/>
      <c r="B81" s="4"/>
      <c r="C81" s="47"/>
      <c r="D81" s="218" t="s">
        <v>313</v>
      </c>
      <c r="E81" s="219"/>
      <c r="F81" s="219"/>
      <c r="G81" s="219"/>
      <c r="H81" s="220"/>
      <c r="I81" s="119" t="s">
        <v>118</v>
      </c>
      <c r="J81" s="120" t="s">
        <v>108</v>
      </c>
      <c r="K81" s="120" t="s">
        <v>4</v>
      </c>
      <c r="L81" s="120" t="s">
        <v>4</v>
      </c>
      <c r="M81" s="108">
        <f>SUM(M82+M84+M87+M92)</f>
        <v>821696.2</v>
      </c>
      <c r="N81" s="108">
        <f>SUM(N82+N84+N87+N92)</f>
        <v>11478.9</v>
      </c>
      <c r="O81" s="106">
        <f>SUM(M81:N81)</f>
        <v>833175.1</v>
      </c>
      <c r="P81" s="108">
        <v>833175.1</v>
      </c>
      <c r="Q81" s="108">
        <f>SUM(Q82+Q84+Q87+Q92)</f>
        <v>100217.4</v>
      </c>
      <c r="R81" s="106">
        <f t="shared" si="25"/>
        <v>933392.5</v>
      </c>
      <c r="S81" s="106">
        <v>940903.5</v>
      </c>
      <c r="T81" s="106">
        <f>SUM(T82+T84+T87+T92)</f>
        <v>205190.2</v>
      </c>
      <c r="U81" s="106">
        <f t="shared" si="26"/>
        <v>1146093.7</v>
      </c>
      <c r="V81" s="106">
        <v>1146093.7</v>
      </c>
      <c r="W81" s="106">
        <f>SUM(W82+W84+W87+W92)</f>
        <v>-778.4</v>
      </c>
      <c r="X81" s="110">
        <f t="shared" si="24"/>
        <v>1145315.3</v>
      </c>
      <c r="Y81" s="9"/>
      <c r="Z81" s="4"/>
    </row>
    <row r="82" spans="1:27" ht="22.5" customHeight="1" x14ac:dyDescent="0.25">
      <c r="A82" s="45"/>
      <c r="B82" s="38"/>
      <c r="C82" s="46"/>
      <c r="D82" s="217" t="s">
        <v>216</v>
      </c>
      <c r="E82" s="139"/>
      <c r="F82" s="139"/>
      <c r="G82" s="139"/>
      <c r="H82" s="139"/>
      <c r="I82" s="15" t="s">
        <v>117</v>
      </c>
      <c r="J82" s="6" t="s">
        <v>108</v>
      </c>
      <c r="K82" s="6" t="s">
        <v>23</v>
      </c>
      <c r="L82" s="6" t="s">
        <v>4</v>
      </c>
      <c r="M82" s="19">
        <f>M83</f>
        <v>2070.6</v>
      </c>
      <c r="N82" s="19">
        <f>N83</f>
        <v>0</v>
      </c>
      <c r="O82" s="19">
        <f>SUM(M82:N82)</f>
        <v>2070.6</v>
      </c>
      <c r="P82" s="19">
        <v>2070.6</v>
      </c>
      <c r="Q82" s="19">
        <f>Q83</f>
        <v>453.5</v>
      </c>
      <c r="R82" s="19">
        <f t="shared" si="25"/>
        <v>2524.1</v>
      </c>
      <c r="S82" s="19">
        <v>2524.1</v>
      </c>
      <c r="T82" s="19">
        <f>SUM(T83)</f>
        <v>0</v>
      </c>
      <c r="U82" s="19">
        <f>SUM(S82:T82)</f>
        <v>2524.1</v>
      </c>
      <c r="V82" s="19">
        <v>2524.1</v>
      </c>
      <c r="W82" s="19">
        <f>SUM(W83)</f>
        <v>0</v>
      </c>
      <c r="X82" s="18">
        <f t="shared" si="24"/>
        <v>2524.1</v>
      </c>
      <c r="Y82" s="22"/>
      <c r="Z82" s="4"/>
    </row>
    <row r="83" spans="1:27" ht="55.5" hidden="1" customHeight="1" outlineLevel="1" x14ac:dyDescent="0.25">
      <c r="A83" s="45"/>
      <c r="B83" s="38"/>
      <c r="C83" s="46"/>
      <c r="D83" s="87"/>
      <c r="E83" s="146" t="s">
        <v>286</v>
      </c>
      <c r="F83" s="146"/>
      <c r="G83" s="146"/>
      <c r="H83" s="146"/>
      <c r="I83" s="15"/>
      <c r="J83" s="8" t="s">
        <v>108</v>
      </c>
      <c r="K83" s="8" t="s">
        <v>23</v>
      </c>
      <c r="L83" s="8" t="s">
        <v>13</v>
      </c>
      <c r="M83" s="19">
        <v>2070.6</v>
      </c>
      <c r="N83" s="19"/>
      <c r="O83" s="19">
        <f>SUM(M83:N83)</f>
        <v>2070.6</v>
      </c>
      <c r="P83" s="19">
        <v>2070.6</v>
      </c>
      <c r="Q83" s="19">
        <f>430.9+22.6</f>
        <v>453.5</v>
      </c>
      <c r="R83" s="19">
        <f t="shared" si="25"/>
        <v>2524.1</v>
      </c>
      <c r="S83" s="19">
        <v>2524.1</v>
      </c>
      <c r="T83" s="19"/>
      <c r="U83" s="19">
        <f t="shared" ref="U83:U93" si="27">SUM(S83:T83)</f>
        <v>2524.1</v>
      </c>
      <c r="V83" s="19">
        <v>2524.1</v>
      </c>
      <c r="W83" s="19"/>
      <c r="X83" s="18">
        <f t="shared" si="24"/>
        <v>2524.1</v>
      </c>
      <c r="Y83" s="22"/>
      <c r="Z83" s="4"/>
    </row>
    <row r="84" spans="1:27" ht="48" customHeight="1" collapsed="1" x14ac:dyDescent="0.25">
      <c r="A84" s="45"/>
      <c r="B84" s="38"/>
      <c r="C84" s="46"/>
      <c r="D84" s="217" t="s">
        <v>217</v>
      </c>
      <c r="E84" s="139"/>
      <c r="F84" s="139"/>
      <c r="G84" s="139"/>
      <c r="H84" s="139"/>
      <c r="I84" s="15" t="s">
        <v>116</v>
      </c>
      <c r="J84" s="6" t="s">
        <v>108</v>
      </c>
      <c r="K84" s="6" t="s">
        <v>18</v>
      </c>
      <c r="L84" s="6" t="s">
        <v>4</v>
      </c>
      <c r="M84" s="19">
        <f>M85+M86</f>
        <v>36372.5</v>
      </c>
      <c r="N84" s="19">
        <f>N85+N86</f>
        <v>0</v>
      </c>
      <c r="O84" s="19">
        <f>SUM(M84:N84)</f>
        <v>36372.5</v>
      </c>
      <c r="P84" s="19">
        <v>36372.5</v>
      </c>
      <c r="Q84" s="19">
        <f>Q85+Q86</f>
        <v>0</v>
      </c>
      <c r="R84" s="19">
        <f t="shared" si="25"/>
        <v>36372.5</v>
      </c>
      <c r="S84" s="19">
        <v>35098.5</v>
      </c>
      <c r="T84" s="19">
        <f>SUM(T85+T86)</f>
        <v>5190.2</v>
      </c>
      <c r="U84" s="19">
        <f t="shared" si="27"/>
        <v>40288.699999999997</v>
      </c>
      <c r="V84" s="19">
        <v>40288.699999999997</v>
      </c>
      <c r="W84" s="19">
        <f>SUM(W85+W86)</f>
        <v>-23.8</v>
      </c>
      <c r="X84" s="18">
        <f t="shared" si="24"/>
        <v>40264.899999999994</v>
      </c>
      <c r="Y84" s="9" t="s">
        <v>469</v>
      </c>
      <c r="Z84" s="4"/>
    </row>
    <row r="85" spans="1:27" ht="77.25" hidden="1" customHeight="1" outlineLevel="1" x14ac:dyDescent="0.25">
      <c r="A85" s="45"/>
      <c r="B85" s="38"/>
      <c r="C85" s="46"/>
      <c r="D85" s="14"/>
      <c r="E85" s="147" t="s">
        <v>218</v>
      </c>
      <c r="F85" s="139"/>
      <c r="G85" s="139"/>
      <c r="H85" s="139"/>
      <c r="I85" s="15" t="s">
        <v>115</v>
      </c>
      <c r="J85" s="6" t="s">
        <v>108</v>
      </c>
      <c r="K85" s="6" t="s">
        <v>18</v>
      </c>
      <c r="L85" s="6" t="s">
        <v>13</v>
      </c>
      <c r="M85" s="19">
        <v>36360.300000000003</v>
      </c>
      <c r="N85" s="19"/>
      <c r="O85" s="19">
        <f t="shared" ref="O85:O98" si="28">SUM(M85:N85)</f>
        <v>36360.300000000003</v>
      </c>
      <c r="P85" s="19">
        <v>36360.300000000003</v>
      </c>
      <c r="Q85" s="19"/>
      <c r="R85" s="19">
        <f t="shared" si="25"/>
        <v>36360.300000000003</v>
      </c>
      <c r="S85" s="19">
        <v>35086.300000000003</v>
      </c>
      <c r="T85" s="19">
        <f>2490.2+2700</f>
        <v>5190.2</v>
      </c>
      <c r="U85" s="19">
        <f t="shared" si="27"/>
        <v>40276.5</v>
      </c>
      <c r="V85" s="19">
        <v>40276.5</v>
      </c>
      <c r="W85" s="19">
        <v>-23.8</v>
      </c>
      <c r="X85" s="18">
        <f t="shared" si="24"/>
        <v>40252.699999999997</v>
      </c>
      <c r="Y85" s="9"/>
      <c r="Z85" s="4"/>
    </row>
    <row r="86" spans="1:27" ht="84" hidden="1" customHeight="1" outlineLevel="1" x14ac:dyDescent="0.25">
      <c r="A86" s="45"/>
      <c r="B86" s="38"/>
      <c r="C86" s="46"/>
      <c r="D86" s="14"/>
      <c r="E86" s="147" t="s">
        <v>219</v>
      </c>
      <c r="F86" s="139"/>
      <c r="G86" s="139"/>
      <c r="H86" s="139"/>
      <c r="I86" s="15" t="s">
        <v>114</v>
      </c>
      <c r="J86" s="6" t="s">
        <v>108</v>
      </c>
      <c r="K86" s="6" t="s">
        <v>18</v>
      </c>
      <c r="L86" s="6" t="s">
        <v>11</v>
      </c>
      <c r="M86" s="19">
        <v>12.2</v>
      </c>
      <c r="N86" s="19"/>
      <c r="O86" s="19">
        <f t="shared" si="28"/>
        <v>12.2</v>
      </c>
      <c r="P86" s="19">
        <v>12.2</v>
      </c>
      <c r="Q86" s="19"/>
      <c r="R86" s="19">
        <f t="shared" si="25"/>
        <v>12.2</v>
      </c>
      <c r="S86" s="19">
        <v>12.2</v>
      </c>
      <c r="T86" s="19"/>
      <c r="U86" s="19">
        <f t="shared" si="27"/>
        <v>12.2</v>
      </c>
      <c r="V86" s="19">
        <v>12.2</v>
      </c>
      <c r="W86" s="19"/>
      <c r="X86" s="18">
        <f t="shared" si="24"/>
        <v>12.2</v>
      </c>
      <c r="Y86" s="9"/>
      <c r="Z86" s="4"/>
    </row>
    <row r="87" spans="1:27" ht="115.8" customHeight="1" collapsed="1" x14ac:dyDescent="0.25">
      <c r="A87" s="45"/>
      <c r="B87" s="38"/>
      <c r="C87" s="46"/>
      <c r="D87" s="224" t="s">
        <v>323</v>
      </c>
      <c r="E87" s="139"/>
      <c r="F87" s="139"/>
      <c r="G87" s="139"/>
      <c r="H87" s="139"/>
      <c r="I87" s="15" t="s">
        <v>113</v>
      </c>
      <c r="J87" s="6" t="s">
        <v>108</v>
      </c>
      <c r="K87" s="6" t="s">
        <v>27</v>
      </c>
      <c r="L87" s="6" t="s">
        <v>4</v>
      </c>
      <c r="M87" s="19">
        <f>M88+M90+M91</f>
        <v>783253.1</v>
      </c>
      <c r="N87" s="19">
        <f>N88+N90+N91+N89</f>
        <v>11478.9</v>
      </c>
      <c r="O87" s="19">
        <f>SUM(M87:N87)</f>
        <v>794732</v>
      </c>
      <c r="P87" s="19">
        <v>794732</v>
      </c>
      <c r="Q87" s="19">
        <f>Q88+Q90+Q91+Q89</f>
        <v>99763.9</v>
      </c>
      <c r="R87" s="19">
        <f t="shared" si="25"/>
        <v>894495.9</v>
      </c>
      <c r="S87" s="19">
        <v>903280.9</v>
      </c>
      <c r="T87" s="19">
        <f>SUM(T88+T89+T90+T91)</f>
        <v>200000</v>
      </c>
      <c r="U87" s="19">
        <f t="shared" si="27"/>
        <v>1103280.8999999999</v>
      </c>
      <c r="V87" s="19">
        <v>1103280.8999999999</v>
      </c>
      <c r="W87" s="19">
        <f>SUM(W88+W89+W90+W91)</f>
        <v>-754.6</v>
      </c>
      <c r="X87" s="18">
        <f t="shared" si="24"/>
        <v>1102526.2999999998</v>
      </c>
      <c r="Y87" s="9" t="s">
        <v>470</v>
      </c>
      <c r="Z87" s="4"/>
    </row>
    <row r="88" spans="1:27" ht="60" hidden="1" customHeight="1" outlineLevel="1" x14ac:dyDescent="0.25">
      <c r="A88" s="45"/>
      <c r="B88" s="38"/>
      <c r="C88" s="46"/>
      <c r="D88" s="14"/>
      <c r="E88" s="139" t="s">
        <v>220</v>
      </c>
      <c r="F88" s="139"/>
      <c r="G88" s="139"/>
      <c r="H88" s="139"/>
      <c r="I88" s="15" t="s">
        <v>112</v>
      </c>
      <c r="J88" s="6" t="s">
        <v>108</v>
      </c>
      <c r="K88" s="6" t="s">
        <v>27</v>
      </c>
      <c r="L88" s="6" t="s">
        <v>13</v>
      </c>
      <c r="M88" s="19">
        <v>26837.9</v>
      </c>
      <c r="N88" s="19">
        <f>-1500+2200</f>
        <v>700</v>
      </c>
      <c r="O88" s="19">
        <f t="shared" si="28"/>
        <v>27537.9</v>
      </c>
      <c r="P88" s="19">
        <v>27537.9</v>
      </c>
      <c r="Q88" s="19">
        <f>59276.4+4461.7-3000</f>
        <v>60738.1</v>
      </c>
      <c r="R88" s="19">
        <f t="shared" ref="R88:R93" si="29">SUM(P88:Q88)</f>
        <v>88276</v>
      </c>
      <c r="S88" s="19">
        <v>97061</v>
      </c>
      <c r="T88" s="19"/>
      <c r="U88" s="19">
        <f t="shared" si="27"/>
        <v>97061</v>
      </c>
      <c r="V88" s="19">
        <v>97061</v>
      </c>
      <c r="W88" s="19">
        <f>-61.6-693</f>
        <v>-754.6</v>
      </c>
      <c r="X88" s="18">
        <f t="shared" si="24"/>
        <v>96306.4</v>
      </c>
      <c r="Y88" s="9" t="s">
        <v>467</v>
      </c>
      <c r="Z88" s="4"/>
    </row>
    <row r="89" spans="1:27" ht="46.5" hidden="1" customHeight="1" outlineLevel="1" x14ac:dyDescent="0.25">
      <c r="A89" s="45"/>
      <c r="B89" s="38"/>
      <c r="C89" s="46"/>
      <c r="D89" s="14"/>
      <c r="E89" s="156" t="s">
        <v>358</v>
      </c>
      <c r="F89" s="149"/>
      <c r="G89" s="149"/>
      <c r="H89" s="150"/>
      <c r="I89" s="15"/>
      <c r="J89" s="6">
        <v>11</v>
      </c>
      <c r="K89" s="6">
        <v>3</v>
      </c>
      <c r="L89" s="6" t="s">
        <v>11</v>
      </c>
      <c r="M89" s="19">
        <v>0</v>
      </c>
      <c r="N89" s="19">
        <v>7518.3</v>
      </c>
      <c r="O89" s="19">
        <f t="shared" si="28"/>
        <v>7518.3</v>
      </c>
      <c r="P89" s="19">
        <v>7518.3</v>
      </c>
      <c r="Q89" s="19">
        <v>-7518.3</v>
      </c>
      <c r="R89" s="19">
        <f t="shared" si="29"/>
        <v>0</v>
      </c>
      <c r="S89" s="19">
        <v>0</v>
      </c>
      <c r="T89" s="19"/>
      <c r="U89" s="19">
        <f t="shared" si="27"/>
        <v>0</v>
      </c>
      <c r="V89" s="19">
        <v>0</v>
      </c>
      <c r="W89" s="19"/>
      <c r="X89" s="18">
        <f t="shared" si="24"/>
        <v>0</v>
      </c>
      <c r="Y89" s="9"/>
      <c r="Z89" s="4"/>
    </row>
    <row r="90" spans="1:27" ht="49.5" hidden="1" customHeight="1" outlineLevel="1" x14ac:dyDescent="0.25">
      <c r="A90" s="45"/>
      <c r="B90" s="38"/>
      <c r="C90" s="46"/>
      <c r="D90" s="14"/>
      <c r="E90" s="147" t="s">
        <v>221</v>
      </c>
      <c r="F90" s="139"/>
      <c r="G90" s="139"/>
      <c r="H90" s="139"/>
      <c r="I90" s="15" t="s">
        <v>111</v>
      </c>
      <c r="J90" s="6" t="s">
        <v>108</v>
      </c>
      <c r="K90" s="6" t="s">
        <v>27</v>
      </c>
      <c r="L90" s="6" t="s">
        <v>26</v>
      </c>
      <c r="M90" s="19">
        <v>0</v>
      </c>
      <c r="N90" s="19"/>
      <c r="O90" s="19">
        <f t="shared" si="28"/>
        <v>0</v>
      </c>
      <c r="P90" s="19">
        <v>0</v>
      </c>
      <c r="Q90" s="19">
        <f>3000+225.9</f>
        <v>3225.9</v>
      </c>
      <c r="R90" s="19">
        <f t="shared" si="29"/>
        <v>3225.9</v>
      </c>
      <c r="S90" s="19">
        <v>3225.9</v>
      </c>
      <c r="T90" s="19"/>
      <c r="U90" s="19">
        <f t="shared" si="27"/>
        <v>3225.9</v>
      </c>
      <c r="V90" s="19">
        <v>3225.9</v>
      </c>
      <c r="W90" s="19"/>
      <c r="X90" s="18">
        <f t="shared" si="24"/>
        <v>3225.9</v>
      </c>
      <c r="Y90" s="9"/>
      <c r="Z90" s="4"/>
    </row>
    <row r="91" spans="1:27" ht="66" hidden="1" customHeight="1" outlineLevel="1" x14ac:dyDescent="0.25">
      <c r="A91" s="45"/>
      <c r="B91" s="38"/>
      <c r="C91" s="46"/>
      <c r="D91" s="14"/>
      <c r="E91" s="140" t="s">
        <v>222</v>
      </c>
      <c r="F91" s="141"/>
      <c r="G91" s="141"/>
      <c r="H91" s="142"/>
      <c r="I91" s="15" t="s">
        <v>110</v>
      </c>
      <c r="J91" s="6" t="s">
        <v>108</v>
      </c>
      <c r="K91" s="6" t="s">
        <v>27</v>
      </c>
      <c r="L91" s="6" t="s">
        <v>109</v>
      </c>
      <c r="M91" s="19">
        <v>756415.2</v>
      </c>
      <c r="N91" s="19">
        <v>3260.6</v>
      </c>
      <c r="O91" s="19">
        <f t="shared" si="28"/>
        <v>759675.79999999993</v>
      </c>
      <c r="P91" s="19">
        <v>759675.79999999993</v>
      </c>
      <c r="Q91" s="19">
        <v>43318.2</v>
      </c>
      <c r="R91" s="19">
        <f t="shared" si="29"/>
        <v>802993.99999999988</v>
      </c>
      <c r="S91" s="19">
        <v>802993.99999999988</v>
      </c>
      <c r="T91" s="19">
        <f>39630+146370+14000</f>
        <v>200000</v>
      </c>
      <c r="U91" s="19">
        <f t="shared" si="27"/>
        <v>1002993.9999999999</v>
      </c>
      <c r="V91" s="19">
        <v>1002993.9999999999</v>
      </c>
      <c r="W91" s="19"/>
      <c r="X91" s="18">
        <f t="shared" si="24"/>
        <v>1002993.9999999999</v>
      </c>
      <c r="Y91" s="23"/>
      <c r="Z91" s="4"/>
    </row>
    <row r="92" spans="1:27" ht="42" customHeight="1" collapsed="1" x14ac:dyDescent="0.25">
      <c r="A92" s="45"/>
      <c r="B92" s="38"/>
      <c r="C92" s="46"/>
      <c r="D92" s="224" t="s">
        <v>329</v>
      </c>
      <c r="E92" s="139"/>
      <c r="F92" s="139"/>
      <c r="G92" s="139"/>
      <c r="H92" s="139"/>
      <c r="I92" s="15" t="s">
        <v>107</v>
      </c>
      <c r="J92" s="6" t="s">
        <v>108</v>
      </c>
      <c r="K92" s="6" t="s">
        <v>40</v>
      </c>
      <c r="L92" s="6" t="s">
        <v>4</v>
      </c>
      <c r="M92" s="19">
        <f>SUM(M93)</f>
        <v>0</v>
      </c>
      <c r="N92" s="19">
        <f>SUM(N93)</f>
        <v>0</v>
      </c>
      <c r="O92" s="19">
        <f t="shared" si="28"/>
        <v>0</v>
      </c>
      <c r="P92" s="19">
        <v>0</v>
      </c>
      <c r="Q92" s="19">
        <f>SUM(Q93)</f>
        <v>0</v>
      </c>
      <c r="R92" s="19">
        <f t="shared" si="29"/>
        <v>0</v>
      </c>
      <c r="S92" s="19">
        <v>0</v>
      </c>
      <c r="T92" s="19">
        <f>SUM(T93)</f>
        <v>0</v>
      </c>
      <c r="U92" s="19">
        <f t="shared" si="27"/>
        <v>0</v>
      </c>
      <c r="V92" s="19">
        <v>0</v>
      </c>
      <c r="W92" s="19">
        <f>SUM(W93)</f>
        <v>0</v>
      </c>
      <c r="X92" s="18">
        <f t="shared" si="24"/>
        <v>0</v>
      </c>
      <c r="Y92" s="9"/>
      <c r="Z92" s="4"/>
    </row>
    <row r="93" spans="1:27" ht="36.75" customHeight="1" outlineLevel="1" x14ac:dyDescent="0.25">
      <c r="A93" s="45"/>
      <c r="B93" s="38"/>
      <c r="C93" s="46"/>
      <c r="D93" s="14"/>
      <c r="E93" s="147" t="s">
        <v>223</v>
      </c>
      <c r="F93" s="139"/>
      <c r="G93" s="139"/>
      <c r="H93" s="139"/>
      <c r="I93" s="15" t="s">
        <v>107</v>
      </c>
      <c r="J93" s="6" t="s">
        <v>108</v>
      </c>
      <c r="K93" s="6" t="s">
        <v>40</v>
      </c>
      <c r="L93" s="6" t="s">
        <v>13</v>
      </c>
      <c r="M93" s="19"/>
      <c r="N93" s="19"/>
      <c r="O93" s="19">
        <f t="shared" si="28"/>
        <v>0</v>
      </c>
      <c r="P93" s="19">
        <v>0</v>
      </c>
      <c r="Q93" s="19"/>
      <c r="R93" s="19">
        <f t="shared" si="29"/>
        <v>0</v>
      </c>
      <c r="S93" s="19">
        <v>0</v>
      </c>
      <c r="T93" s="19"/>
      <c r="U93" s="19">
        <f t="shared" si="27"/>
        <v>0</v>
      </c>
      <c r="V93" s="19">
        <v>0</v>
      </c>
      <c r="W93" s="19"/>
      <c r="X93" s="18">
        <f t="shared" si="24"/>
        <v>0</v>
      </c>
      <c r="Y93" s="23"/>
      <c r="Z93" s="4"/>
    </row>
    <row r="94" spans="1:27" ht="99" customHeight="1" x14ac:dyDescent="0.25">
      <c r="A94" s="45"/>
      <c r="B94" s="4"/>
      <c r="C94" s="47"/>
      <c r="D94" s="218" t="s">
        <v>304</v>
      </c>
      <c r="E94" s="219"/>
      <c r="F94" s="219"/>
      <c r="G94" s="219"/>
      <c r="H94" s="220"/>
      <c r="I94" s="119" t="s">
        <v>106</v>
      </c>
      <c r="J94" s="120" t="s">
        <v>103</v>
      </c>
      <c r="K94" s="120" t="s">
        <v>4</v>
      </c>
      <c r="L94" s="120" t="s">
        <v>4</v>
      </c>
      <c r="M94" s="108">
        <f>M95+M96+M98+M97</f>
        <v>32466.3</v>
      </c>
      <c r="N94" s="108">
        <f>N95+N96+N98+N97</f>
        <v>1300</v>
      </c>
      <c r="O94" s="106">
        <f>SUM(M94:N94)</f>
        <v>33766.300000000003</v>
      </c>
      <c r="P94" s="108">
        <v>33766.300000000003</v>
      </c>
      <c r="Q94" s="108">
        <f>Q95+Q96+Q98+Q97</f>
        <v>1025.8</v>
      </c>
      <c r="R94" s="106">
        <f>SUM(P94:Q94)</f>
        <v>34792.100000000006</v>
      </c>
      <c r="S94" s="106">
        <v>34069.100000000006</v>
      </c>
      <c r="T94" s="106">
        <f>SUM(T95+T96+T97+T98)</f>
        <v>2166.6</v>
      </c>
      <c r="U94" s="106">
        <f>SUM(S94:T94)</f>
        <v>36235.700000000004</v>
      </c>
      <c r="V94" s="106">
        <v>36235.700000000004</v>
      </c>
      <c r="W94" s="106">
        <f>SUM(W95+W96+W97+W98)</f>
        <v>-267</v>
      </c>
      <c r="X94" s="110">
        <f t="shared" si="24"/>
        <v>35968.700000000004</v>
      </c>
      <c r="Y94" s="9" t="s">
        <v>481</v>
      </c>
      <c r="Z94" s="4"/>
    </row>
    <row r="95" spans="1:27" ht="55.5" hidden="1" customHeight="1" outlineLevel="1" x14ac:dyDescent="0.25">
      <c r="A95" s="45"/>
      <c r="B95" s="38"/>
      <c r="C95" s="46"/>
      <c r="D95" s="14"/>
      <c r="E95" s="147" t="s">
        <v>224</v>
      </c>
      <c r="F95" s="139"/>
      <c r="G95" s="139"/>
      <c r="H95" s="139"/>
      <c r="I95" s="15" t="s">
        <v>105</v>
      </c>
      <c r="J95" s="6" t="s">
        <v>103</v>
      </c>
      <c r="K95" s="6" t="s">
        <v>2</v>
      </c>
      <c r="L95" s="6" t="s">
        <v>13</v>
      </c>
      <c r="M95" s="19">
        <v>1000</v>
      </c>
      <c r="N95" s="19">
        <f>1000</f>
        <v>1000</v>
      </c>
      <c r="O95" s="19">
        <f t="shared" si="28"/>
        <v>2000</v>
      </c>
      <c r="P95" s="19">
        <v>2000</v>
      </c>
      <c r="Q95" s="19"/>
      <c r="R95" s="19">
        <f>SUM(P95:Q95)</f>
        <v>2000</v>
      </c>
      <c r="S95" s="102">
        <v>1302.0999999999999</v>
      </c>
      <c r="T95" s="102">
        <f>-3</f>
        <v>-3</v>
      </c>
      <c r="U95" s="19">
        <f t="shared" ref="U95:U99" si="30">SUM(S95:T95)</f>
        <v>1299.0999999999999</v>
      </c>
      <c r="V95" s="102">
        <v>1299.0999999999999</v>
      </c>
      <c r="W95" s="102"/>
      <c r="X95" s="18">
        <f t="shared" si="24"/>
        <v>1299.0999999999999</v>
      </c>
      <c r="Y95" s="85"/>
      <c r="Z95" s="4"/>
    </row>
    <row r="96" spans="1:27" ht="94.5" hidden="1" customHeight="1" outlineLevel="1" x14ac:dyDescent="0.25">
      <c r="A96" s="45"/>
      <c r="B96" s="38"/>
      <c r="C96" s="46"/>
      <c r="D96" s="14"/>
      <c r="E96" s="147" t="s">
        <v>225</v>
      </c>
      <c r="F96" s="139"/>
      <c r="G96" s="139"/>
      <c r="H96" s="139"/>
      <c r="I96" s="15" t="s">
        <v>104</v>
      </c>
      <c r="J96" s="6" t="s">
        <v>103</v>
      </c>
      <c r="K96" s="6" t="s">
        <v>2</v>
      </c>
      <c r="L96" s="6" t="s">
        <v>11</v>
      </c>
      <c r="M96" s="19">
        <v>30466.3</v>
      </c>
      <c r="N96" s="19"/>
      <c r="O96" s="19">
        <f t="shared" si="28"/>
        <v>30466.3</v>
      </c>
      <c r="P96" s="19">
        <v>30466.3</v>
      </c>
      <c r="Q96" s="19">
        <f>1025.8</f>
        <v>1025.8</v>
      </c>
      <c r="R96" s="19">
        <f>SUM(P96:Q96)</f>
        <v>31492.1</v>
      </c>
      <c r="S96" s="19">
        <v>31468</v>
      </c>
      <c r="T96" s="19">
        <f>1091+3+1075.6</f>
        <v>2169.6</v>
      </c>
      <c r="U96" s="19">
        <f t="shared" si="30"/>
        <v>33637.599999999999</v>
      </c>
      <c r="V96" s="19">
        <v>33637.599999999999</v>
      </c>
      <c r="W96" s="19">
        <f>-270+3</f>
        <v>-267</v>
      </c>
      <c r="X96" s="18">
        <f t="shared" si="24"/>
        <v>33370.6</v>
      </c>
      <c r="Y96" s="9"/>
      <c r="Z96" s="4"/>
      <c r="AA96" s="44"/>
    </row>
    <row r="97" spans="1:26" ht="48" hidden="1" customHeight="1" outlineLevel="1" x14ac:dyDescent="0.25">
      <c r="A97" s="45"/>
      <c r="B97" s="38"/>
      <c r="C97" s="46"/>
      <c r="D97" s="14"/>
      <c r="E97" s="139" t="s">
        <v>305</v>
      </c>
      <c r="F97" s="139"/>
      <c r="G97" s="139"/>
      <c r="H97" s="139"/>
      <c r="I97" s="15" t="s">
        <v>102</v>
      </c>
      <c r="J97" s="6" t="s">
        <v>103</v>
      </c>
      <c r="K97" s="6" t="s">
        <v>2</v>
      </c>
      <c r="L97" s="6" t="s">
        <v>26</v>
      </c>
      <c r="M97" s="19">
        <v>1000</v>
      </c>
      <c r="N97" s="19">
        <f>300</f>
        <v>300</v>
      </c>
      <c r="O97" s="19">
        <f t="shared" si="28"/>
        <v>1300</v>
      </c>
      <c r="P97" s="19">
        <v>1300</v>
      </c>
      <c r="Q97" s="19"/>
      <c r="R97" s="19">
        <f>SUM(P97:Q97)</f>
        <v>1300</v>
      </c>
      <c r="S97" s="102">
        <v>1299</v>
      </c>
      <c r="T97" s="102"/>
      <c r="U97" s="18">
        <f t="shared" si="30"/>
        <v>1299</v>
      </c>
      <c r="V97" s="19">
        <v>1299</v>
      </c>
      <c r="W97" s="19"/>
      <c r="X97" s="18">
        <f t="shared" si="24"/>
        <v>1299</v>
      </c>
      <c r="Y97" s="124"/>
      <c r="Z97" s="4"/>
    </row>
    <row r="98" spans="1:26" ht="27.75" hidden="1" customHeight="1" outlineLevel="1" x14ac:dyDescent="0.25">
      <c r="A98" s="45"/>
      <c r="B98" s="38"/>
      <c r="C98" s="46"/>
      <c r="D98" s="14"/>
      <c r="E98" s="139" t="s">
        <v>293</v>
      </c>
      <c r="F98" s="139"/>
      <c r="G98" s="139"/>
      <c r="H98" s="139"/>
      <c r="I98" s="15" t="s">
        <v>102</v>
      </c>
      <c r="J98" s="6" t="s">
        <v>103</v>
      </c>
      <c r="K98" s="6" t="s">
        <v>2</v>
      </c>
      <c r="L98" s="6" t="s">
        <v>294</v>
      </c>
      <c r="M98" s="19">
        <v>0</v>
      </c>
      <c r="N98" s="19"/>
      <c r="O98" s="19">
        <f t="shared" si="28"/>
        <v>0</v>
      </c>
      <c r="P98" s="19">
        <v>0</v>
      </c>
      <c r="Q98" s="19"/>
      <c r="R98" s="19">
        <f>SUM(P98:Q98)</f>
        <v>0</v>
      </c>
      <c r="S98" s="19">
        <v>0</v>
      </c>
      <c r="T98" s="19"/>
      <c r="U98" s="102">
        <f t="shared" si="30"/>
        <v>0</v>
      </c>
      <c r="V98" s="102">
        <v>0</v>
      </c>
      <c r="W98" s="102"/>
      <c r="X98" s="18">
        <f t="shared" si="24"/>
        <v>0</v>
      </c>
      <c r="Y98" s="85"/>
      <c r="Z98" s="4"/>
    </row>
    <row r="99" spans="1:26" ht="30.75" customHeight="1" collapsed="1" x14ac:dyDescent="0.25">
      <c r="A99" s="45"/>
      <c r="B99" s="4"/>
      <c r="C99" s="47"/>
      <c r="D99" s="218" t="s">
        <v>314</v>
      </c>
      <c r="E99" s="219"/>
      <c r="F99" s="219"/>
      <c r="G99" s="219"/>
      <c r="H99" s="220"/>
      <c r="I99" s="119" t="s">
        <v>101</v>
      </c>
      <c r="J99" s="120" t="s">
        <v>95</v>
      </c>
      <c r="K99" s="120" t="s">
        <v>4</v>
      </c>
      <c r="L99" s="120" t="s">
        <v>4</v>
      </c>
      <c r="M99" s="108">
        <f>M100+M104+M106</f>
        <v>171719</v>
      </c>
      <c r="N99" s="108">
        <f>N100+N104+N106</f>
        <v>0</v>
      </c>
      <c r="O99" s="106">
        <f t="shared" ref="O99:O105" si="31">SUM(M99:N99)</f>
        <v>171719</v>
      </c>
      <c r="P99" s="108">
        <v>171719</v>
      </c>
      <c r="Q99" s="108">
        <f>Q100+Q104+Q106</f>
        <v>-141.19999999999999</v>
      </c>
      <c r="R99" s="106">
        <f t="shared" ref="R99:R105" si="32">SUM(P99:Q99)</f>
        <v>171577.8</v>
      </c>
      <c r="S99" s="106">
        <v>206777.3</v>
      </c>
      <c r="T99" s="106">
        <f>SUM(T100+T104+T106)</f>
        <v>0</v>
      </c>
      <c r="U99" s="106">
        <f t="shared" si="30"/>
        <v>206777.3</v>
      </c>
      <c r="V99" s="106">
        <v>206777.3</v>
      </c>
      <c r="W99" s="106">
        <f>SUM(W100+W104+W106)</f>
        <v>0</v>
      </c>
      <c r="X99" s="110">
        <f t="shared" si="24"/>
        <v>206777.3</v>
      </c>
      <c r="Y99" s="121"/>
      <c r="Z99" s="4"/>
    </row>
    <row r="100" spans="1:26" ht="39.75" customHeight="1" x14ac:dyDescent="0.25">
      <c r="A100" s="45"/>
      <c r="B100" s="38"/>
      <c r="C100" s="46"/>
      <c r="D100" s="217" t="s">
        <v>226</v>
      </c>
      <c r="E100" s="139"/>
      <c r="F100" s="139"/>
      <c r="G100" s="139"/>
      <c r="H100" s="139"/>
      <c r="I100" s="15" t="s">
        <v>100</v>
      </c>
      <c r="J100" s="6" t="s">
        <v>95</v>
      </c>
      <c r="K100" s="6" t="s">
        <v>23</v>
      </c>
      <c r="L100" s="6" t="s">
        <v>4</v>
      </c>
      <c r="M100" s="19">
        <f>M101+M102</f>
        <v>15300</v>
      </c>
      <c r="N100" s="19">
        <f>N101+N102</f>
        <v>0</v>
      </c>
      <c r="O100" s="19">
        <f t="shared" si="31"/>
        <v>15300</v>
      </c>
      <c r="P100" s="19">
        <v>15300</v>
      </c>
      <c r="Q100" s="19">
        <f>Q101+Q102</f>
        <v>0</v>
      </c>
      <c r="R100" s="19">
        <f t="shared" si="32"/>
        <v>15300</v>
      </c>
      <c r="S100" s="19">
        <v>29221.4</v>
      </c>
      <c r="T100" s="19">
        <f>SUM(T101+T102+T103)</f>
        <v>0</v>
      </c>
      <c r="U100" s="19">
        <f>SUM(S100:T100)</f>
        <v>29221.4</v>
      </c>
      <c r="V100" s="19">
        <v>29221.4</v>
      </c>
      <c r="W100" s="19">
        <f>SUM(W101+W102+W103)</f>
        <v>0</v>
      </c>
      <c r="X100" s="18">
        <f t="shared" si="24"/>
        <v>29221.4</v>
      </c>
      <c r="Y100" s="9"/>
      <c r="Z100" s="4"/>
    </row>
    <row r="101" spans="1:26" ht="58.5" hidden="1" customHeight="1" outlineLevel="1" x14ac:dyDescent="0.25">
      <c r="A101" s="45"/>
      <c r="B101" s="38"/>
      <c r="C101" s="46"/>
      <c r="D101" s="14"/>
      <c r="E101" s="147" t="s">
        <v>227</v>
      </c>
      <c r="F101" s="139"/>
      <c r="G101" s="139"/>
      <c r="H101" s="139"/>
      <c r="I101" s="15" t="s">
        <v>99</v>
      </c>
      <c r="J101" s="6" t="s">
        <v>95</v>
      </c>
      <c r="K101" s="6" t="s">
        <v>23</v>
      </c>
      <c r="L101" s="6" t="s">
        <v>13</v>
      </c>
      <c r="M101" s="19">
        <v>300</v>
      </c>
      <c r="N101" s="19"/>
      <c r="O101" s="19">
        <f t="shared" si="31"/>
        <v>300</v>
      </c>
      <c r="P101" s="19">
        <v>300</v>
      </c>
      <c r="Q101" s="19"/>
      <c r="R101" s="19">
        <f t="shared" si="32"/>
        <v>300</v>
      </c>
      <c r="S101" s="19">
        <v>14451.7</v>
      </c>
      <c r="T101" s="19"/>
      <c r="U101" s="19">
        <f t="shared" ref="U101:U107" si="33">SUM(S101:T101)</f>
        <v>14451.7</v>
      </c>
      <c r="V101" s="19">
        <v>14451.7</v>
      </c>
      <c r="W101" s="19"/>
      <c r="X101" s="18">
        <f t="shared" si="24"/>
        <v>14451.7</v>
      </c>
      <c r="Y101" s="9"/>
      <c r="Z101" s="4"/>
    </row>
    <row r="102" spans="1:26" ht="77.25" hidden="1" customHeight="1" outlineLevel="1" x14ac:dyDescent="0.25">
      <c r="A102" s="45"/>
      <c r="B102" s="38"/>
      <c r="C102" s="46"/>
      <c r="D102" s="14"/>
      <c r="E102" s="147" t="s">
        <v>228</v>
      </c>
      <c r="F102" s="139"/>
      <c r="G102" s="139"/>
      <c r="H102" s="139"/>
      <c r="I102" s="15" t="s">
        <v>98</v>
      </c>
      <c r="J102" s="6" t="s">
        <v>95</v>
      </c>
      <c r="K102" s="6" t="s">
        <v>23</v>
      </c>
      <c r="L102" s="6" t="s">
        <v>11</v>
      </c>
      <c r="M102" s="19">
        <v>15000</v>
      </c>
      <c r="N102" s="19"/>
      <c r="O102" s="19">
        <f t="shared" si="31"/>
        <v>15000</v>
      </c>
      <c r="P102" s="19">
        <v>15000</v>
      </c>
      <c r="Q102" s="19"/>
      <c r="R102" s="19">
        <f t="shared" si="32"/>
        <v>15000</v>
      </c>
      <c r="S102" s="19">
        <v>13318.6</v>
      </c>
      <c r="T102" s="19"/>
      <c r="U102" s="19">
        <f t="shared" si="33"/>
        <v>13318.6</v>
      </c>
      <c r="V102" s="19">
        <v>13318.6</v>
      </c>
      <c r="W102" s="19"/>
      <c r="X102" s="18">
        <f t="shared" si="24"/>
        <v>13318.6</v>
      </c>
      <c r="Y102" s="9"/>
      <c r="Z102" s="4"/>
    </row>
    <row r="103" spans="1:26" ht="114.75" hidden="1" customHeight="1" outlineLevel="1" x14ac:dyDescent="0.25">
      <c r="A103" s="45"/>
      <c r="B103" s="38"/>
      <c r="C103" s="46"/>
      <c r="D103" s="14"/>
      <c r="E103" s="139" t="s">
        <v>379</v>
      </c>
      <c r="F103" s="139"/>
      <c r="G103" s="139"/>
      <c r="H103" s="139"/>
      <c r="I103" s="15"/>
      <c r="J103" s="6" t="s">
        <v>95</v>
      </c>
      <c r="K103" s="6" t="s">
        <v>23</v>
      </c>
      <c r="L103" s="6" t="s">
        <v>26</v>
      </c>
      <c r="M103" s="19"/>
      <c r="N103" s="19"/>
      <c r="O103" s="19"/>
      <c r="P103" s="19"/>
      <c r="Q103" s="19"/>
      <c r="R103" s="19"/>
      <c r="S103" s="19">
        <v>1451.1</v>
      </c>
      <c r="T103" s="19"/>
      <c r="U103" s="19">
        <f t="shared" si="33"/>
        <v>1451.1</v>
      </c>
      <c r="V103" s="19">
        <v>1451.1</v>
      </c>
      <c r="W103" s="19"/>
      <c r="X103" s="18">
        <f t="shared" si="24"/>
        <v>1451.1</v>
      </c>
      <c r="Y103" s="125"/>
      <c r="Z103" s="4"/>
    </row>
    <row r="104" spans="1:26" ht="46.2" customHeight="1" collapsed="1" x14ac:dyDescent="0.25">
      <c r="A104" s="45"/>
      <c r="B104" s="38"/>
      <c r="C104" s="46"/>
      <c r="D104" s="224" t="s">
        <v>330</v>
      </c>
      <c r="E104" s="139"/>
      <c r="F104" s="139"/>
      <c r="G104" s="139"/>
      <c r="H104" s="139"/>
      <c r="I104" s="15" t="s">
        <v>97</v>
      </c>
      <c r="J104" s="6" t="s">
        <v>95</v>
      </c>
      <c r="K104" s="6" t="s">
        <v>18</v>
      </c>
      <c r="L104" s="6" t="s">
        <v>4</v>
      </c>
      <c r="M104" s="19">
        <f>M105</f>
        <v>155419</v>
      </c>
      <c r="N104" s="19">
        <f>N105</f>
        <v>0</v>
      </c>
      <c r="O104" s="19">
        <f t="shared" si="31"/>
        <v>155419</v>
      </c>
      <c r="P104" s="19">
        <v>155419</v>
      </c>
      <c r="Q104" s="19">
        <f>Q105</f>
        <v>0</v>
      </c>
      <c r="R104" s="19">
        <f t="shared" si="32"/>
        <v>155419</v>
      </c>
      <c r="S104" s="19">
        <v>176419</v>
      </c>
      <c r="T104" s="19">
        <f>SUM(T105)</f>
        <v>0</v>
      </c>
      <c r="U104" s="19">
        <f t="shared" si="33"/>
        <v>176419</v>
      </c>
      <c r="V104" s="19">
        <v>176419</v>
      </c>
      <c r="W104" s="19">
        <f>SUM(W105)</f>
        <v>0</v>
      </c>
      <c r="X104" s="18">
        <f t="shared" si="24"/>
        <v>176419</v>
      </c>
      <c r="Y104" s="9"/>
      <c r="Z104" s="4"/>
    </row>
    <row r="105" spans="1:26" ht="81" hidden="1" customHeight="1" outlineLevel="1" x14ac:dyDescent="0.25">
      <c r="A105" s="45"/>
      <c r="B105" s="38"/>
      <c r="C105" s="46"/>
      <c r="D105" s="14"/>
      <c r="E105" s="147" t="s">
        <v>229</v>
      </c>
      <c r="F105" s="139"/>
      <c r="G105" s="139"/>
      <c r="H105" s="139"/>
      <c r="I105" s="15" t="s">
        <v>97</v>
      </c>
      <c r="J105" s="6" t="s">
        <v>95</v>
      </c>
      <c r="K105" s="6" t="s">
        <v>18</v>
      </c>
      <c r="L105" s="6" t="s">
        <v>13</v>
      </c>
      <c r="M105" s="19">
        <v>155419</v>
      </c>
      <c r="N105" s="19"/>
      <c r="O105" s="19">
        <f t="shared" si="31"/>
        <v>155419</v>
      </c>
      <c r="P105" s="19">
        <v>155419</v>
      </c>
      <c r="Q105" s="19"/>
      <c r="R105" s="19">
        <f t="shared" si="32"/>
        <v>155419</v>
      </c>
      <c r="S105" s="19">
        <v>176419</v>
      </c>
      <c r="T105" s="19"/>
      <c r="U105" s="19">
        <f t="shared" si="33"/>
        <v>176419</v>
      </c>
      <c r="V105" s="19">
        <v>176419</v>
      </c>
      <c r="W105" s="19"/>
      <c r="X105" s="18">
        <f t="shared" si="24"/>
        <v>176419</v>
      </c>
      <c r="Y105" s="9"/>
      <c r="Z105" s="4"/>
    </row>
    <row r="106" spans="1:26" ht="50.25" customHeight="1" collapsed="1" x14ac:dyDescent="0.25">
      <c r="A106" s="45"/>
      <c r="B106" s="38"/>
      <c r="C106" s="46"/>
      <c r="D106" s="224" t="s">
        <v>331</v>
      </c>
      <c r="E106" s="139"/>
      <c r="F106" s="139"/>
      <c r="G106" s="139"/>
      <c r="H106" s="139"/>
      <c r="I106" s="15" t="s">
        <v>96</v>
      </c>
      <c r="J106" s="6" t="s">
        <v>95</v>
      </c>
      <c r="K106" s="6" t="s">
        <v>27</v>
      </c>
      <c r="L106" s="6" t="s">
        <v>4</v>
      </c>
      <c r="M106" s="19">
        <f>M107</f>
        <v>1000</v>
      </c>
      <c r="N106" s="19">
        <f>N107</f>
        <v>0</v>
      </c>
      <c r="O106" s="19">
        <f>O107</f>
        <v>1000</v>
      </c>
      <c r="P106" s="19">
        <v>1000</v>
      </c>
      <c r="Q106" s="19">
        <f>Q107</f>
        <v>-141.19999999999999</v>
      </c>
      <c r="R106" s="19">
        <f>R107</f>
        <v>858.8</v>
      </c>
      <c r="S106" s="19">
        <v>1136.9000000000001</v>
      </c>
      <c r="T106" s="19">
        <f>SUM(T107)</f>
        <v>0</v>
      </c>
      <c r="U106" s="19">
        <f t="shared" si="33"/>
        <v>1136.9000000000001</v>
      </c>
      <c r="V106" s="19">
        <v>1136.9000000000001</v>
      </c>
      <c r="W106" s="19"/>
      <c r="X106" s="18">
        <f t="shared" si="24"/>
        <v>1136.9000000000001</v>
      </c>
      <c r="Y106" s="9"/>
      <c r="Z106" s="4"/>
    </row>
    <row r="107" spans="1:26" ht="51" hidden="1" customHeight="1" outlineLevel="1" x14ac:dyDescent="0.25">
      <c r="A107" s="45"/>
      <c r="B107" s="38"/>
      <c r="C107" s="46"/>
      <c r="D107" s="14"/>
      <c r="E107" s="147" t="s">
        <v>230</v>
      </c>
      <c r="F107" s="139"/>
      <c r="G107" s="139"/>
      <c r="H107" s="139"/>
      <c r="I107" s="15" t="s">
        <v>96</v>
      </c>
      <c r="J107" s="6" t="s">
        <v>95</v>
      </c>
      <c r="K107" s="6" t="s">
        <v>27</v>
      </c>
      <c r="L107" s="6" t="s">
        <v>13</v>
      </c>
      <c r="M107" s="19">
        <v>1000</v>
      </c>
      <c r="N107" s="19"/>
      <c r="O107" s="19">
        <f>SUM(M107:N107)</f>
        <v>1000</v>
      </c>
      <c r="P107" s="19">
        <v>1000</v>
      </c>
      <c r="Q107" s="19">
        <v>-141.19999999999999</v>
      </c>
      <c r="R107" s="19">
        <f t="shared" ref="R107:R113" si="34">SUM(P107:Q107)</f>
        <v>858.8</v>
      </c>
      <c r="S107" s="19">
        <v>1136.9000000000001</v>
      </c>
      <c r="T107" s="19"/>
      <c r="U107" s="19">
        <f t="shared" si="33"/>
        <v>1136.9000000000001</v>
      </c>
      <c r="V107" s="19">
        <v>1136.9000000000001</v>
      </c>
      <c r="W107" s="19"/>
      <c r="X107" s="110">
        <f t="shared" si="24"/>
        <v>1136.9000000000001</v>
      </c>
      <c r="Y107" s="9"/>
      <c r="Z107" s="4"/>
    </row>
    <row r="108" spans="1:26" ht="42" customHeight="1" collapsed="1" x14ac:dyDescent="0.25">
      <c r="A108" s="45"/>
      <c r="B108" s="4"/>
      <c r="C108" s="47"/>
      <c r="D108" s="218" t="s">
        <v>315</v>
      </c>
      <c r="E108" s="219"/>
      <c r="F108" s="219"/>
      <c r="G108" s="219"/>
      <c r="H108" s="220"/>
      <c r="I108" s="119" t="s">
        <v>94</v>
      </c>
      <c r="J108" s="120" t="s">
        <v>84</v>
      </c>
      <c r="K108" s="120" t="s">
        <v>4</v>
      </c>
      <c r="L108" s="120" t="s">
        <v>4</v>
      </c>
      <c r="M108" s="108">
        <f>M109+M114+M119+M121+M123</f>
        <v>44168.1</v>
      </c>
      <c r="N108" s="108">
        <f>N109+N114+N119+N121+N123</f>
        <v>1500</v>
      </c>
      <c r="O108" s="106">
        <f>SUM(M108:N108)</f>
        <v>45668.1</v>
      </c>
      <c r="P108" s="108">
        <v>45668.1</v>
      </c>
      <c r="Q108" s="108">
        <f>Q109+Q114+Q119+Q121+Q123</f>
        <v>-585</v>
      </c>
      <c r="R108" s="106">
        <f t="shared" si="34"/>
        <v>45083.1</v>
      </c>
      <c r="S108" s="106">
        <v>56724.6</v>
      </c>
      <c r="T108" s="106">
        <f>SUM(T109+T114+T119+T121+T123)</f>
        <v>172198.9</v>
      </c>
      <c r="U108" s="106">
        <f>SUM(S108:T108)</f>
        <v>228923.5</v>
      </c>
      <c r="V108" s="106">
        <v>228923.5</v>
      </c>
      <c r="W108" s="106">
        <f>SUM(W109+W114+W119+W121+W123)</f>
        <v>107000</v>
      </c>
      <c r="X108" s="110">
        <f t="shared" si="24"/>
        <v>335923.5</v>
      </c>
      <c r="Y108" s="9"/>
      <c r="Z108" s="4"/>
    </row>
    <row r="109" spans="1:26" ht="46.5" customHeight="1" x14ac:dyDescent="0.25">
      <c r="A109" s="45"/>
      <c r="B109" s="38"/>
      <c r="C109" s="46"/>
      <c r="D109" s="224" t="s">
        <v>324</v>
      </c>
      <c r="E109" s="139"/>
      <c r="F109" s="139"/>
      <c r="G109" s="139"/>
      <c r="H109" s="139"/>
      <c r="I109" s="15" t="s">
        <v>93</v>
      </c>
      <c r="J109" s="6" t="s">
        <v>84</v>
      </c>
      <c r="K109" s="6" t="s">
        <v>23</v>
      </c>
      <c r="L109" s="6" t="s">
        <v>4</v>
      </c>
      <c r="M109" s="19">
        <f>M110+M111+M112+M113</f>
        <v>36090.1</v>
      </c>
      <c r="N109" s="19">
        <f>N110+N111+N112+N113</f>
        <v>-700</v>
      </c>
      <c r="O109" s="19">
        <f>SUM(M109:N109)</f>
        <v>35390.1</v>
      </c>
      <c r="P109" s="19">
        <v>35390.1</v>
      </c>
      <c r="Q109" s="19">
        <f>Q110+Q111+Q112+Q113</f>
        <v>-580</v>
      </c>
      <c r="R109" s="19">
        <f t="shared" si="34"/>
        <v>34810.1</v>
      </c>
      <c r="S109" s="19">
        <v>39194.5</v>
      </c>
      <c r="T109" s="19">
        <f>SUM(T110+T111+T112+T113)</f>
        <v>3170.6</v>
      </c>
      <c r="U109" s="19">
        <f>SUM(S109:T109)</f>
        <v>42365.1</v>
      </c>
      <c r="V109" s="19">
        <v>42365.1</v>
      </c>
      <c r="W109" s="19">
        <f>SUM(W110+W111+W112+W113)</f>
        <v>0</v>
      </c>
      <c r="X109" s="18">
        <f t="shared" si="24"/>
        <v>42365.1</v>
      </c>
      <c r="Y109" s="9"/>
      <c r="Z109" s="4"/>
    </row>
    <row r="110" spans="1:26" ht="51" hidden="1" customHeight="1" outlineLevel="2" x14ac:dyDescent="0.25">
      <c r="A110" s="45"/>
      <c r="B110" s="38"/>
      <c r="C110" s="46"/>
      <c r="D110" s="14"/>
      <c r="E110" s="139" t="s">
        <v>338</v>
      </c>
      <c r="F110" s="139"/>
      <c r="G110" s="139"/>
      <c r="H110" s="139"/>
      <c r="I110" s="15" t="s">
        <v>92</v>
      </c>
      <c r="J110" s="6" t="s">
        <v>84</v>
      </c>
      <c r="K110" s="6" t="s">
        <v>23</v>
      </c>
      <c r="L110" s="6" t="s">
        <v>13</v>
      </c>
      <c r="M110" s="19">
        <v>2460.1</v>
      </c>
      <c r="N110" s="19"/>
      <c r="O110" s="19">
        <f t="shared" ref="O110:O129" si="35">SUM(M110:N110)</f>
        <v>2460.1</v>
      </c>
      <c r="P110" s="19">
        <v>2460.1</v>
      </c>
      <c r="Q110" s="19"/>
      <c r="R110" s="19">
        <f t="shared" si="34"/>
        <v>2460.1</v>
      </c>
      <c r="S110" s="19">
        <v>2460.1</v>
      </c>
      <c r="T110" s="19"/>
      <c r="U110" s="19">
        <f t="shared" ref="U110:U124" si="36">SUM(S110:T110)</f>
        <v>2460.1</v>
      </c>
      <c r="V110" s="19">
        <v>2460.1</v>
      </c>
      <c r="W110" s="19"/>
      <c r="X110" s="18">
        <f t="shared" si="24"/>
        <v>2460.1</v>
      </c>
      <c r="Y110" s="9"/>
      <c r="Z110" s="4"/>
    </row>
    <row r="111" spans="1:26" ht="40.5" hidden="1" customHeight="1" outlineLevel="2" x14ac:dyDescent="0.25">
      <c r="A111" s="45"/>
      <c r="B111" s="38"/>
      <c r="C111" s="46"/>
      <c r="D111" s="14"/>
      <c r="E111" s="139" t="s">
        <v>346</v>
      </c>
      <c r="F111" s="139"/>
      <c r="G111" s="139"/>
      <c r="H111" s="139"/>
      <c r="I111" s="15" t="s">
        <v>91</v>
      </c>
      <c r="J111" s="6" t="s">
        <v>84</v>
      </c>
      <c r="K111" s="6" t="s">
        <v>23</v>
      </c>
      <c r="L111" s="6" t="s">
        <v>11</v>
      </c>
      <c r="M111" s="19">
        <v>28630</v>
      </c>
      <c r="N111" s="19">
        <v>-308.60000000000002</v>
      </c>
      <c r="O111" s="19">
        <f t="shared" si="35"/>
        <v>28321.4</v>
      </c>
      <c r="P111" s="19">
        <v>28321.4</v>
      </c>
      <c r="Q111" s="19">
        <f>-2.3-37-200</f>
        <v>-239.3</v>
      </c>
      <c r="R111" s="19">
        <f t="shared" si="34"/>
        <v>28082.100000000002</v>
      </c>
      <c r="S111" s="19">
        <v>33965.4</v>
      </c>
      <c r="T111" s="19">
        <v>3170.6</v>
      </c>
      <c r="U111" s="19">
        <f t="shared" si="36"/>
        <v>37136</v>
      </c>
      <c r="V111" s="19">
        <v>37136</v>
      </c>
      <c r="W111" s="19"/>
      <c r="X111" s="18">
        <f t="shared" si="24"/>
        <v>37136</v>
      </c>
      <c r="Y111" s="9"/>
      <c r="Z111" s="4"/>
    </row>
    <row r="112" spans="1:26" ht="36.75" hidden="1" customHeight="1" outlineLevel="2" x14ac:dyDescent="0.25">
      <c r="A112" s="45"/>
      <c r="B112" s="38"/>
      <c r="C112" s="46"/>
      <c r="D112" s="14"/>
      <c r="E112" s="139" t="s">
        <v>342</v>
      </c>
      <c r="F112" s="139"/>
      <c r="G112" s="139"/>
      <c r="H112" s="139"/>
      <c r="I112" s="20" t="s">
        <v>343</v>
      </c>
      <c r="J112" s="11" t="s">
        <v>84</v>
      </c>
      <c r="K112" s="11" t="s">
        <v>23</v>
      </c>
      <c r="L112" s="11" t="s">
        <v>26</v>
      </c>
      <c r="M112" s="19">
        <v>5000</v>
      </c>
      <c r="N112" s="19">
        <v>-391.4</v>
      </c>
      <c r="O112" s="19">
        <f t="shared" si="35"/>
        <v>4608.6000000000004</v>
      </c>
      <c r="P112" s="19">
        <v>4608.6000000000004</v>
      </c>
      <c r="Q112" s="19">
        <f>-227.7-113</f>
        <v>-340.7</v>
      </c>
      <c r="R112" s="19">
        <f t="shared" si="34"/>
        <v>4267.9000000000005</v>
      </c>
      <c r="S112" s="19">
        <v>2769.0000000000005</v>
      </c>
      <c r="T112" s="19"/>
      <c r="U112" s="19">
        <f t="shared" si="36"/>
        <v>2769.0000000000005</v>
      </c>
      <c r="V112" s="19">
        <v>2769.0000000000005</v>
      </c>
      <c r="W112" s="19"/>
      <c r="X112" s="18">
        <f t="shared" si="24"/>
        <v>2769.0000000000005</v>
      </c>
      <c r="Y112" s="9"/>
      <c r="Z112" s="4"/>
    </row>
    <row r="113" spans="1:26" ht="21" hidden="1" customHeight="1" outlineLevel="2" x14ac:dyDescent="0.25">
      <c r="A113" s="45"/>
      <c r="B113" s="38"/>
      <c r="C113" s="46"/>
      <c r="D113" s="14"/>
      <c r="E113" s="156" t="s">
        <v>347</v>
      </c>
      <c r="F113" s="149"/>
      <c r="G113" s="149"/>
      <c r="H113" s="150"/>
      <c r="I113" s="20"/>
      <c r="J113" s="11" t="s">
        <v>84</v>
      </c>
      <c r="K113" s="11" t="s">
        <v>23</v>
      </c>
      <c r="L113" s="11" t="s">
        <v>10</v>
      </c>
      <c r="M113" s="19">
        <v>0</v>
      </c>
      <c r="N113" s="19"/>
      <c r="O113" s="19">
        <f t="shared" si="35"/>
        <v>0</v>
      </c>
      <c r="P113" s="19">
        <v>0</v>
      </c>
      <c r="Q113" s="19"/>
      <c r="R113" s="19">
        <f t="shared" si="34"/>
        <v>0</v>
      </c>
      <c r="S113" s="19">
        <v>0</v>
      </c>
      <c r="T113" s="19"/>
      <c r="U113" s="19">
        <f t="shared" si="36"/>
        <v>0</v>
      </c>
      <c r="V113" s="19">
        <v>0</v>
      </c>
      <c r="W113" s="19"/>
      <c r="X113" s="18">
        <f t="shared" si="24"/>
        <v>0</v>
      </c>
      <c r="Y113" s="9"/>
      <c r="Z113" s="4"/>
    </row>
    <row r="114" spans="1:26" ht="71.400000000000006" customHeight="1" collapsed="1" x14ac:dyDescent="0.25">
      <c r="A114" s="45"/>
      <c r="B114" s="38"/>
      <c r="C114" s="46"/>
      <c r="D114" s="224" t="s">
        <v>325</v>
      </c>
      <c r="E114" s="139"/>
      <c r="F114" s="139"/>
      <c r="G114" s="139"/>
      <c r="H114" s="139"/>
      <c r="I114" s="15" t="s">
        <v>90</v>
      </c>
      <c r="J114" s="6" t="s">
        <v>84</v>
      </c>
      <c r="K114" s="6" t="s">
        <v>18</v>
      </c>
      <c r="L114" s="6" t="s">
        <v>4</v>
      </c>
      <c r="M114" s="19">
        <f>M115+M116+M117+M118</f>
        <v>7428</v>
      </c>
      <c r="N114" s="19">
        <f>N115+N116+N117+N118</f>
        <v>1200</v>
      </c>
      <c r="O114" s="19">
        <f>O115+O116+O117+O118</f>
        <v>8628</v>
      </c>
      <c r="P114" s="19">
        <v>8628</v>
      </c>
      <c r="Q114" s="19">
        <f>Q115+Q116+Q117+Q118</f>
        <v>0</v>
      </c>
      <c r="R114" s="19">
        <f>R115+R116+R117+R118</f>
        <v>8628</v>
      </c>
      <c r="S114" s="19">
        <v>15628</v>
      </c>
      <c r="T114" s="19">
        <f>SUM(T115+T116+T117+T118)</f>
        <v>169104.8</v>
      </c>
      <c r="U114" s="19">
        <f t="shared" si="36"/>
        <v>184732.79999999999</v>
      </c>
      <c r="V114" s="19">
        <v>184732.79999999999</v>
      </c>
      <c r="W114" s="19">
        <f>SUM(W115+W116+W117+W118)</f>
        <v>107000</v>
      </c>
      <c r="X114" s="18">
        <f t="shared" si="24"/>
        <v>291732.8</v>
      </c>
      <c r="Y114" s="9" t="s">
        <v>463</v>
      </c>
      <c r="Z114" s="4"/>
    </row>
    <row r="115" spans="1:26" ht="63" hidden="1" customHeight="1" outlineLevel="1" x14ac:dyDescent="0.25">
      <c r="A115" s="45"/>
      <c r="B115" s="38"/>
      <c r="C115" s="46"/>
      <c r="D115" s="14"/>
      <c r="E115" s="147" t="s">
        <v>231</v>
      </c>
      <c r="F115" s="139"/>
      <c r="G115" s="139"/>
      <c r="H115" s="139"/>
      <c r="I115" s="15" t="s">
        <v>89</v>
      </c>
      <c r="J115" s="6" t="s">
        <v>84</v>
      </c>
      <c r="K115" s="6" t="s">
        <v>18</v>
      </c>
      <c r="L115" s="6" t="s">
        <v>13</v>
      </c>
      <c r="M115" s="19">
        <v>2500.8000000000002</v>
      </c>
      <c r="N115" s="19">
        <f>700+500</f>
        <v>1200</v>
      </c>
      <c r="O115" s="19">
        <f t="shared" si="35"/>
        <v>3700.8</v>
      </c>
      <c r="P115" s="19">
        <v>3700.8</v>
      </c>
      <c r="Q115" s="19"/>
      <c r="R115" s="19">
        <f t="shared" ref="R115:R122" si="37">SUM(P115:Q115)</f>
        <v>3700.8</v>
      </c>
      <c r="S115" s="19">
        <v>10700.8</v>
      </c>
      <c r="T115" s="19">
        <v>100</v>
      </c>
      <c r="U115" s="19">
        <f t="shared" si="36"/>
        <v>10800.8</v>
      </c>
      <c r="V115" s="19">
        <v>10800.8</v>
      </c>
      <c r="W115" s="19"/>
      <c r="X115" s="18">
        <f t="shared" si="24"/>
        <v>10800.8</v>
      </c>
      <c r="Y115" s="9"/>
      <c r="Z115" s="4"/>
    </row>
    <row r="116" spans="1:26" ht="37.5" hidden="1" customHeight="1" outlineLevel="1" x14ac:dyDescent="0.25">
      <c r="A116" s="45"/>
      <c r="B116" s="38"/>
      <c r="C116" s="46"/>
      <c r="D116" s="14"/>
      <c r="E116" s="139" t="s">
        <v>232</v>
      </c>
      <c r="F116" s="139"/>
      <c r="G116" s="139"/>
      <c r="H116" s="139"/>
      <c r="I116" s="15" t="s">
        <v>88</v>
      </c>
      <c r="J116" s="6" t="s">
        <v>84</v>
      </c>
      <c r="K116" s="6" t="s">
        <v>18</v>
      </c>
      <c r="L116" s="6" t="s">
        <v>11</v>
      </c>
      <c r="M116" s="19">
        <v>0</v>
      </c>
      <c r="N116" s="19"/>
      <c r="O116" s="19">
        <f t="shared" si="35"/>
        <v>0</v>
      </c>
      <c r="P116" s="19">
        <v>0</v>
      </c>
      <c r="Q116" s="19"/>
      <c r="R116" s="19">
        <f t="shared" si="37"/>
        <v>0</v>
      </c>
      <c r="S116" s="19">
        <v>0</v>
      </c>
      <c r="T116" s="19"/>
      <c r="U116" s="19">
        <f t="shared" si="36"/>
        <v>0</v>
      </c>
      <c r="V116" s="19">
        <v>0</v>
      </c>
      <c r="W116" s="19"/>
      <c r="X116" s="18">
        <f t="shared" si="24"/>
        <v>0</v>
      </c>
      <c r="Y116" s="9"/>
      <c r="Z116" s="4"/>
    </row>
    <row r="117" spans="1:26" ht="83.25" hidden="1" customHeight="1" outlineLevel="1" x14ac:dyDescent="0.25">
      <c r="A117" s="45"/>
      <c r="B117" s="38"/>
      <c r="C117" s="46"/>
      <c r="D117" s="14"/>
      <c r="E117" s="139" t="s">
        <v>233</v>
      </c>
      <c r="F117" s="139"/>
      <c r="G117" s="139"/>
      <c r="H117" s="139"/>
      <c r="I117" s="15" t="s">
        <v>87</v>
      </c>
      <c r="J117" s="6" t="s">
        <v>84</v>
      </c>
      <c r="K117" s="6" t="s">
        <v>18</v>
      </c>
      <c r="L117" s="6" t="s">
        <v>26</v>
      </c>
      <c r="M117" s="19">
        <v>4927.2</v>
      </c>
      <c r="N117" s="19"/>
      <c r="O117" s="19">
        <f t="shared" si="35"/>
        <v>4927.2</v>
      </c>
      <c r="P117" s="19">
        <v>4927.2</v>
      </c>
      <c r="Q117" s="19"/>
      <c r="R117" s="19">
        <f t="shared" si="37"/>
        <v>4927.2</v>
      </c>
      <c r="S117" s="19">
        <v>4927.2</v>
      </c>
      <c r="T117" s="19">
        <v>-995.2</v>
      </c>
      <c r="U117" s="19">
        <f t="shared" si="36"/>
        <v>3932</v>
      </c>
      <c r="V117" s="19">
        <v>3932</v>
      </c>
      <c r="W117" s="19"/>
      <c r="X117" s="18">
        <f t="shared" si="24"/>
        <v>3932</v>
      </c>
      <c r="Y117" s="9"/>
      <c r="Z117" s="4"/>
    </row>
    <row r="118" spans="1:26" ht="79.5" hidden="1" customHeight="1" outlineLevel="1" x14ac:dyDescent="0.25">
      <c r="A118" s="38"/>
      <c r="B118" s="38"/>
      <c r="C118" s="38"/>
      <c r="D118" s="38"/>
      <c r="E118" s="147" t="s">
        <v>307</v>
      </c>
      <c r="F118" s="139"/>
      <c r="G118" s="139"/>
      <c r="H118" s="139"/>
      <c r="I118" s="15"/>
      <c r="J118" s="6" t="s">
        <v>84</v>
      </c>
      <c r="K118" s="6" t="s">
        <v>18</v>
      </c>
      <c r="L118" s="11" t="s">
        <v>10</v>
      </c>
      <c r="M118" s="19"/>
      <c r="N118" s="19"/>
      <c r="O118" s="19">
        <f t="shared" si="35"/>
        <v>0</v>
      </c>
      <c r="P118" s="19">
        <v>0</v>
      </c>
      <c r="Q118" s="19"/>
      <c r="R118" s="19">
        <f t="shared" si="37"/>
        <v>0</v>
      </c>
      <c r="S118" s="19">
        <v>0</v>
      </c>
      <c r="T118" s="19">
        <v>170000</v>
      </c>
      <c r="U118" s="19">
        <f t="shared" si="36"/>
        <v>170000</v>
      </c>
      <c r="V118" s="19">
        <v>170000</v>
      </c>
      <c r="W118" s="19">
        <v>107000</v>
      </c>
      <c r="X118" s="18">
        <f t="shared" si="24"/>
        <v>277000</v>
      </c>
      <c r="Y118" s="9" t="s">
        <v>463</v>
      </c>
      <c r="Z118" s="4"/>
    </row>
    <row r="119" spans="1:26" ht="42" customHeight="1" collapsed="1" x14ac:dyDescent="0.25">
      <c r="A119" s="45"/>
      <c r="B119" s="38"/>
      <c r="C119" s="46"/>
      <c r="D119" s="224" t="s">
        <v>332</v>
      </c>
      <c r="E119" s="139"/>
      <c r="F119" s="139"/>
      <c r="G119" s="139"/>
      <c r="H119" s="139"/>
      <c r="I119" s="15" t="s">
        <v>86</v>
      </c>
      <c r="J119" s="6" t="s">
        <v>84</v>
      </c>
      <c r="K119" s="6" t="s">
        <v>27</v>
      </c>
      <c r="L119" s="6" t="s">
        <v>4</v>
      </c>
      <c r="M119" s="19">
        <f>M120</f>
        <v>150</v>
      </c>
      <c r="N119" s="19">
        <f>N120</f>
        <v>0</v>
      </c>
      <c r="O119" s="19">
        <f>SUM(M119:N119)</f>
        <v>150</v>
      </c>
      <c r="P119" s="19">
        <v>150</v>
      </c>
      <c r="Q119" s="19">
        <f>Q120</f>
        <v>0</v>
      </c>
      <c r="R119" s="19">
        <f t="shared" si="37"/>
        <v>150</v>
      </c>
      <c r="S119" s="19">
        <v>307.10000000000002</v>
      </c>
      <c r="T119" s="19">
        <f>SUM(T120)</f>
        <v>0</v>
      </c>
      <c r="U119" s="19">
        <f t="shared" si="36"/>
        <v>307.10000000000002</v>
      </c>
      <c r="V119" s="19">
        <v>307.10000000000002</v>
      </c>
      <c r="W119" s="19">
        <f>SUM(W120)</f>
        <v>0</v>
      </c>
      <c r="X119" s="18">
        <f t="shared" si="24"/>
        <v>307.10000000000002</v>
      </c>
      <c r="Y119" s="9"/>
      <c r="Z119" s="4"/>
    </row>
    <row r="120" spans="1:26" ht="24" hidden="1" customHeight="1" outlineLevel="1" x14ac:dyDescent="0.25">
      <c r="A120" s="45"/>
      <c r="B120" s="38"/>
      <c r="C120" s="46"/>
      <c r="D120" s="14"/>
      <c r="E120" s="147" t="s">
        <v>234</v>
      </c>
      <c r="F120" s="139"/>
      <c r="G120" s="139"/>
      <c r="H120" s="139"/>
      <c r="I120" s="15" t="s">
        <v>86</v>
      </c>
      <c r="J120" s="6" t="s">
        <v>84</v>
      </c>
      <c r="K120" s="6" t="s">
        <v>27</v>
      </c>
      <c r="L120" s="6" t="s">
        <v>13</v>
      </c>
      <c r="M120" s="19">
        <v>150</v>
      </c>
      <c r="N120" s="19"/>
      <c r="O120" s="19">
        <f t="shared" si="35"/>
        <v>150</v>
      </c>
      <c r="P120" s="19">
        <v>150</v>
      </c>
      <c r="Q120" s="19"/>
      <c r="R120" s="19">
        <f t="shared" si="37"/>
        <v>150</v>
      </c>
      <c r="S120" s="19">
        <v>307.10000000000002</v>
      </c>
      <c r="T120" s="19"/>
      <c r="U120" s="19">
        <f t="shared" si="36"/>
        <v>307.10000000000002</v>
      </c>
      <c r="V120" s="19">
        <v>307.10000000000002</v>
      </c>
      <c r="W120" s="19"/>
      <c r="X120" s="18">
        <f t="shared" si="24"/>
        <v>307.10000000000002</v>
      </c>
      <c r="Y120" s="9"/>
      <c r="Z120" s="4"/>
    </row>
    <row r="121" spans="1:26" ht="40.5" customHeight="1" collapsed="1" x14ac:dyDescent="0.25">
      <c r="A121" s="45"/>
      <c r="B121" s="38"/>
      <c r="C121" s="46"/>
      <c r="D121" s="224" t="s">
        <v>333</v>
      </c>
      <c r="E121" s="139"/>
      <c r="F121" s="139"/>
      <c r="G121" s="139"/>
      <c r="H121" s="139"/>
      <c r="I121" s="15" t="s">
        <v>85</v>
      </c>
      <c r="J121" s="6" t="s">
        <v>84</v>
      </c>
      <c r="K121" s="6" t="s">
        <v>40</v>
      </c>
      <c r="L121" s="6" t="s">
        <v>4</v>
      </c>
      <c r="M121" s="19">
        <f>M122</f>
        <v>500</v>
      </c>
      <c r="N121" s="19">
        <f>N122</f>
        <v>1000</v>
      </c>
      <c r="O121" s="19">
        <f>SUM(M121:N121)</f>
        <v>1500</v>
      </c>
      <c r="P121" s="19">
        <v>1500</v>
      </c>
      <c r="Q121" s="19">
        <f>Q122</f>
        <v>-5</v>
      </c>
      <c r="R121" s="19">
        <f t="shared" si="37"/>
        <v>1495</v>
      </c>
      <c r="S121" s="19">
        <v>1595</v>
      </c>
      <c r="T121" s="19">
        <f>SUM(T122)</f>
        <v>-76.5</v>
      </c>
      <c r="U121" s="19">
        <f t="shared" si="36"/>
        <v>1518.5</v>
      </c>
      <c r="V121" s="19">
        <v>1518.5</v>
      </c>
      <c r="W121" s="19">
        <f>SUM(W122)</f>
        <v>0</v>
      </c>
      <c r="X121" s="18">
        <f t="shared" si="24"/>
        <v>1518.5</v>
      </c>
      <c r="Y121" s="9"/>
      <c r="Z121" s="4"/>
    </row>
    <row r="122" spans="1:26" ht="32.25" hidden="1" customHeight="1" outlineLevel="1" x14ac:dyDescent="0.25">
      <c r="A122" s="45"/>
      <c r="B122" s="38"/>
      <c r="C122" s="46"/>
      <c r="D122" s="14"/>
      <c r="E122" s="147" t="s">
        <v>235</v>
      </c>
      <c r="F122" s="139"/>
      <c r="G122" s="139"/>
      <c r="H122" s="139"/>
      <c r="I122" s="15" t="s">
        <v>85</v>
      </c>
      <c r="J122" s="6" t="s">
        <v>84</v>
      </c>
      <c r="K122" s="6" t="s">
        <v>40</v>
      </c>
      <c r="L122" s="6" t="s">
        <v>13</v>
      </c>
      <c r="M122" s="19">
        <v>500</v>
      </c>
      <c r="N122" s="19">
        <v>1000</v>
      </c>
      <c r="O122" s="19">
        <f>SUM(M122:N122)</f>
        <v>1500</v>
      </c>
      <c r="P122" s="19">
        <v>1500</v>
      </c>
      <c r="Q122" s="19">
        <v>-5</v>
      </c>
      <c r="R122" s="19">
        <f t="shared" si="37"/>
        <v>1495</v>
      </c>
      <c r="S122" s="19">
        <v>1595</v>
      </c>
      <c r="T122" s="19">
        <v>-76.5</v>
      </c>
      <c r="U122" s="19">
        <f t="shared" si="36"/>
        <v>1518.5</v>
      </c>
      <c r="V122" s="19">
        <v>1518.5</v>
      </c>
      <c r="W122" s="19"/>
      <c r="X122" s="18">
        <f t="shared" si="24"/>
        <v>1518.5</v>
      </c>
      <c r="Y122" s="9"/>
      <c r="Z122" s="4"/>
    </row>
    <row r="123" spans="1:26" ht="36" customHeight="1" collapsed="1" x14ac:dyDescent="0.25">
      <c r="A123" s="45"/>
      <c r="B123" s="38"/>
      <c r="C123" s="46"/>
      <c r="D123" s="224" t="s">
        <v>327</v>
      </c>
      <c r="E123" s="139"/>
      <c r="F123" s="139"/>
      <c r="G123" s="139"/>
      <c r="H123" s="139"/>
      <c r="I123" s="15" t="s">
        <v>82</v>
      </c>
      <c r="J123" s="6" t="s">
        <v>84</v>
      </c>
      <c r="K123" s="6" t="s">
        <v>83</v>
      </c>
      <c r="L123" s="6" t="s">
        <v>4</v>
      </c>
      <c r="M123" s="19">
        <f>M124</f>
        <v>0</v>
      </c>
      <c r="N123" s="19">
        <f>N124</f>
        <v>0</v>
      </c>
      <c r="O123" s="19">
        <f>O124</f>
        <v>0</v>
      </c>
      <c r="P123" s="19">
        <v>0</v>
      </c>
      <c r="Q123" s="19">
        <f>Q124</f>
        <v>0</v>
      </c>
      <c r="R123" s="19">
        <f>R124</f>
        <v>0</v>
      </c>
      <c r="S123" s="19">
        <v>0</v>
      </c>
      <c r="T123" s="19">
        <f>SUM(T124)</f>
        <v>0</v>
      </c>
      <c r="U123" s="19">
        <f t="shared" si="36"/>
        <v>0</v>
      </c>
      <c r="V123" s="19">
        <v>0</v>
      </c>
      <c r="W123" s="19">
        <f>SUM(W124)</f>
        <v>0</v>
      </c>
      <c r="X123" s="18">
        <f t="shared" si="24"/>
        <v>0</v>
      </c>
      <c r="Y123" s="9"/>
      <c r="Z123" s="4"/>
    </row>
    <row r="124" spans="1:26" ht="37.5" hidden="1" customHeight="1" outlineLevel="1" x14ac:dyDescent="0.25">
      <c r="A124" s="45"/>
      <c r="B124" s="38"/>
      <c r="C124" s="46"/>
      <c r="D124" s="14"/>
      <c r="E124" s="139" t="s">
        <v>326</v>
      </c>
      <c r="F124" s="139"/>
      <c r="G124" s="139"/>
      <c r="H124" s="139"/>
      <c r="I124" s="15" t="s">
        <v>82</v>
      </c>
      <c r="J124" s="6" t="s">
        <v>84</v>
      </c>
      <c r="K124" s="6" t="s">
        <v>83</v>
      </c>
      <c r="L124" s="6" t="s">
        <v>13</v>
      </c>
      <c r="M124" s="19">
        <v>0</v>
      </c>
      <c r="N124" s="19"/>
      <c r="O124" s="19">
        <f t="shared" si="35"/>
        <v>0</v>
      </c>
      <c r="P124" s="19">
        <v>0</v>
      </c>
      <c r="Q124" s="19"/>
      <c r="R124" s="19">
        <f t="shared" ref="R124:R135" si="38">SUM(P124:Q124)</f>
        <v>0</v>
      </c>
      <c r="S124" s="19">
        <v>0</v>
      </c>
      <c r="T124" s="19"/>
      <c r="U124" s="19">
        <f t="shared" si="36"/>
        <v>0</v>
      </c>
      <c r="V124" s="19">
        <v>0</v>
      </c>
      <c r="W124" s="19"/>
      <c r="X124" s="18">
        <f t="shared" si="24"/>
        <v>0</v>
      </c>
      <c r="Y124" s="9"/>
      <c r="Z124" s="4"/>
    </row>
    <row r="125" spans="1:26" ht="54" customHeight="1" collapsed="1" x14ac:dyDescent="0.25">
      <c r="A125" s="45"/>
      <c r="B125" s="4"/>
      <c r="C125" s="47"/>
      <c r="D125" s="218" t="s">
        <v>316</v>
      </c>
      <c r="E125" s="219"/>
      <c r="F125" s="219"/>
      <c r="G125" s="219"/>
      <c r="H125" s="220"/>
      <c r="I125" s="119" t="s">
        <v>81</v>
      </c>
      <c r="J125" s="120" t="s">
        <v>80</v>
      </c>
      <c r="K125" s="120" t="s">
        <v>4</v>
      </c>
      <c r="L125" s="120" t="s">
        <v>4</v>
      </c>
      <c r="M125" s="108">
        <f>M126</f>
        <v>3514.1</v>
      </c>
      <c r="N125" s="108">
        <f>N126</f>
        <v>0</v>
      </c>
      <c r="O125" s="107">
        <f>SUM(M125:N125)</f>
        <v>3514.1</v>
      </c>
      <c r="P125" s="108">
        <v>3514.1</v>
      </c>
      <c r="Q125" s="108">
        <f>Q126</f>
        <v>0</v>
      </c>
      <c r="R125" s="107">
        <f t="shared" si="38"/>
        <v>3514.1</v>
      </c>
      <c r="S125" s="107">
        <v>1800</v>
      </c>
      <c r="T125" s="107">
        <f>SUM(T126)</f>
        <v>0</v>
      </c>
      <c r="U125" s="107">
        <f>SUM(S125:T125)</f>
        <v>1800</v>
      </c>
      <c r="V125" s="107">
        <v>1800</v>
      </c>
      <c r="W125" s="107">
        <f>SUM(W126)</f>
        <v>0</v>
      </c>
      <c r="X125" s="110">
        <f t="shared" si="24"/>
        <v>1800</v>
      </c>
      <c r="Y125" s="9"/>
      <c r="Z125" s="4"/>
    </row>
    <row r="126" spans="1:26" ht="56.25" hidden="1" customHeight="1" outlineLevel="1" x14ac:dyDescent="0.25">
      <c r="A126" s="45"/>
      <c r="B126" s="38"/>
      <c r="C126" s="46"/>
      <c r="D126" s="14"/>
      <c r="E126" s="147" t="s">
        <v>288</v>
      </c>
      <c r="F126" s="139"/>
      <c r="G126" s="139"/>
      <c r="H126" s="139"/>
      <c r="I126" s="15" t="s">
        <v>81</v>
      </c>
      <c r="J126" s="6" t="s">
        <v>80</v>
      </c>
      <c r="K126" s="6" t="s">
        <v>2</v>
      </c>
      <c r="L126" s="6" t="s">
        <v>13</v>
      </c>
      <c r="M126" s="19">
        <v>3514.1</v>
      </c>
      <c r="N126" s="19"/>
      <c r="O126" s="19">
        <f t="shared" si="35"/>
        <v>3514.1</v>
      </c>
      <c r="P126" s="19">
        <v>3514.1</v>
      </c>
      <c r="Q126" s="19"/>
      <c r="R126" s="19">
        <f t="shared" si="38"/>
        <v>3514.1</v>
      </c>
      <c r="S126" s="19">
        <v>1800</v>
      </c>
      <c r="T126" s="19"/>
      <c r="U126" s="136">
        <f t="shared" ref="U126:U130" si="39">SUM(S126:T126)</f>
        <v>1800</v>
      </c>
      <c r="V126" s="136">
        <v>1800</v>
      </c>
      <c r="W126" s="136"/>
      <c r="X126" s="18">
        <f t="shared" si="24"/>
        <v>1800</v>
      </c>
      <c r="Y126" s="9"/>
      <c r="Z126" s="4"/>
    </row>
    <row r="127" spans="1:26" ht="63" customHeight="1" collapsed="1" x14ac:dyDescent="0.25">
      <c r="A127" s="45"/>
      <c r="B127" s="4"/>
      <c r="C127" s="47"/>
      <c r="D127" s="218" t="s">
        <v>328</v>
      </c>
      <c r="E127" s="219"/>
      <c r="F127" s="219"/>
      <c r="G127" s="219"/>
      <c r="H127" s="220"/>
      <c r="I127" s="119" t="s">
        <v>78</v>
      </c>
      <c r="J127" s="120" t="s">
        <v>79</v>
      </c>
      <c r="K127" s="126" t="s">
        <v>4</v>
      </c>
      <c r="L127" s="126" t="s">
        <v>4</v>
      </c>
      <c r="M127" s="127">
        <f>SUM(M128:M129)</f>
        <v>1446</v>
      </c>
      <c r="N127" s="127">
        <f>SUM(N128:N129)</f>
        <v>1500</v>
      </c>
      <c r="O127" s="107">
        <f>SUM(M127:N127)</f>
        <v>2946</v>
      </c>
      <c r="P127" s="127">
        <v>2946</v>
      </c>
      <c r="Q127" s="127">
        <f>SUM(Q128:Q129)</f>
        <v>1290.4000000000001</v>
      </c>
      <c r="R127" s="107">
        <f t="shared" si="38"/>
        <v>4236.3999999999996</v>
      </c>
      <c r="S127" s="107">
        <v>4813.5999999999995</v>
      </c>
      <c r="T127" s="107">
        <f>SUM(T128+T129)</f>
        <v>-184.4</v>
      </c>
      <c r="U127" s="107">
        <f t="shared" si="39"/>
        <v>4629.2</v>
      </c>
      <c r="V127" s="107">
        <v>4629.2</v>
      </c>
      <c r="W127" s="107">
        <f>SUM(W128+W129)</f>
        <v>0</v>
      </c>
      <c r="X127" s="110">
        <f t="shared" si="24"/>
        <v>4629.2</v>
      </c>
      <c r="Y127" s="9"/>
      <c r="Z127" s="4"/>
    </row>
    <row r="128" spans="1:26" ht="45" hidden="1" customHeight="1" outlineLevel="1" x14ac:dyDescent="0.25">
      <c r="A128" s="45"/>
      <c r="B128" s="38"/>
      <c r="C128" s="46"/>
      <c r="D128" s="14"/>
      <c r="E128" s="147" t="s">
        <v>236</v>
      </c>
      <c r="F128" s="139"/>
      <c r="G128" s="139"/>
      <c r="H128" s="139"/>
      <c r="I128" s="15" t="s">
        <v>78</v>
      </c>
      <c r="J128" s="6" t="s">
        <v>79</v>
      </c>
      <c r="K128" s="6" t="s">
        <v>2</v>
      </c>
      <c r="L128" s="6" t="s">
        <v>13</v>
      </c>
      <c r="M128" s="19">
        <v>1346</v>
      </c>
      <c r="N128" s="19"/>
      <c r="O128" s="18">
        <f t="shared" si="35"/>
        <v>1346</v>
      </c>
      <c r="P128" s="19">
        <v>1346</v>
      </c>
      <c r="Q128" s="19"/>
      <c r="R128" s="18">
        <f t="shared" si="38"/>
        <v>1346</v>
      </c>
      <c r="S128" s="19">
        <v>1523.2</v>
      </c>
      <c r="T128" s="19">
        <v>-84.4</v>
      </c>
      <c r="U128" s="136">
        <f t="shared" si="39"/>
        <v>1438.8</v>
      </c>
      <c r="V128" s="136">
        <v>1438.8</v>
      </c>
      <c r="W128" s="136"/>
      <c r="X128" s="18">
        <f t="shared" si="24"/>
        <v>1438.8</v>
      </c>
      <c r="Y128" s="30"/>
      <c r="Z128" s="4"/>
    </row>
    <row r="129" spans="1:26" ht="33.75" hidden="1" customHeight="1" outlineLevel="1" x14ac:dyDescent="0.25">
      <c r="A129" s="45"/>
      <c r="B129" s="38"/>
      <c r="C129" s="46"/>
      <c r="D129" s="14"/>
      <c r="E129" s="139" t="s">
        <v>340</v>
      </c>
      <c r="F129" s="139"/>
      <c r="G129" s="139"/>
      <c r="H129" s="139"/>
      <c r="I129" s="15">
        <v>1600200000</v>
      </c>
      <c r="J129" s="6">
        <v>16</v>
      </c>
      <c r="K129" s="6">
        <v>0</v>
      </c>
      <c r="L129" s="11" t="s">
        <v>11</v>
      </c>
      <c r="M129" s="19">
        <v>100</v>
      </c>
      <c r="N129" s="19">
        <v>1500</v>
      </c>
      <c r="O129" s="18">
        <f t="shared" si="35"/>
        <v>1600</v>
      </c>
      <c r="P129" s="19">
        <v>1600</v>
      </c>
      <c r="Q129" s="19">
        <f>1200+90.4</f>
        <v>1290.4000000000001</v>
      </c>
      <c r="R129" s="18">
        <f t="shared" si="38"/>
        <v>2890.4</v>
      </c>
      <c r="S129" s="19">
        <v>3290.4</v>
      </c>
      <c r="T129" s="19">
        <v>-100</v>
      </c>
      <c r="U129" s="136">
        <f t="shared" si="39"/>
        <v>3190.4</v>
      </c>
      <c r="V129" s="136">
        <v>3190.4</v>
      </c>
      <c r="W129" s="136"/>
      <c r="X129" s="18">
        <f t="shared" si="24"/>
        <v>3190.4</v>
      </c>
      <c r="Y129" s="30"/>
      <c r="Z129" s="4"/>
    </row>
    <row r="130" spans="1:26" ht="60.6" customHeight="1" collapsed="1" x14ac:dyDescent="0.25">
      <c r="A130" s="45"/>
      <c r="B130" s="4"/>
      <c r="C130" s="47"/>
      <c r="D130" s="218" t="s">
        <v>334</v>
      </c>
      <c r="E130" s="219"/>
      <c r="F130" s="219"/>
      <c r="G130" s="219"/>
      <c r="H130" s="220"/>
      <c r="I130" s="119" t="s">
        <v>77</v>
      </c>
      <c r="J130" s="120" t="s">
        <v>71</v>
      </c>
      <c r="K130" s="120" t="s">
        <v>4</v>
      </c>
      <c r="L130" s="120" t="s">
        <v>4</v>
      </c>
      <c r="M130" s="108">
        <f>M131+M136</f>
        <v>2328.1999999999998</v>
      </c>
      <c r="N130" s="108">
        <f>N131+N136</f>
        <v>0</v>
      </c>
      <c r="O130" s="107">
        <f>SUM(M130:N130)</f>
        <v>2328.1999999999998</v>
      </c>
      <c r="P130" s="108">
        <v>2328.1999999999998</v>
      </c>
      <c r="Q130" s="108">
        <f>Q131+Q136</f>
        <v>0</v>
      </c>
      <c r="R130" s="107">
        <f t="shared" si="38"/>
        <v>2328.1999999999998</v>
      </c>
      <c r="S130" s="107">
        <v>2328.1999999999998</v>
      </c>
      <c r="T130" s="107">
        <f>SUM(T131+T136)</f>
        <v>0</v>
      </c>
      <c r="U130" s="107">
        <f t="shared" si="39"/>
        <v>2328.1999999999998</v>
      </c>
      <c r="V130" s="107">
        <v>2328.1999999999998</v>
      </c>
      <c r="W130" s="107">
        <f>SUM(W131+W136)</f>
        <v>0</v>
      </c>
      <c r="X130" s="110">
        <f t="shared" si="24"/>
        <v>2328.1999999999998</v>
      </c>
      <c r="Y130" s="121"/>
      <c r="Z130" s="4"/>
    </row>
    <row r="131" spans="1:26" ht="32.25" customHeight="1" x14ac:dyDescent="0.25">
      <c r="A131" s="45"/>
      <c r="B131" s="38"/>
      <c r="C131" s="46"/>
      <c r="D131" s="217" t="s">
        <v>237</v>
      </c>
      <c r="E131" s="139"/>
      <c r="F131" s="139"/>
      <c r="G131" s="139"/>
      <c r="H131" s="139"/>
      <c r="I131" s="15" t="s">
        <v>76</v>
      </c>
      <c r="J131" s="6" t="s">
        <v>71</v>
      </c>
      <c r="K131" s="6" t="s">
        <v>23</v>
      </c>
      <c r="L131" s="6"/>
      <c r="M131" s="19">
        <f>M132+M133+M134+M135</f>
        <v>2183.1999999999998</v>
      </c>
      <c r="N131" s="19">
        <f>N132+N133+N134+N135</f>
        <v>0</v>
      </c>
      <c r="O131" s="19">
        <f>SUM(M131:N131)</f>
        <v>2183.1999999999998</v>
      </c>
      <c r="P131" s="19">
        <v>2183.1999999999998</v>
      </c>
      <c r="Q131" s="19">
        <f>Q132+Q133+Q134+Q135</f>
        <v>0</v>
      </c>
      <c r="R131" s="19">
        <f t="shared" si="38"/>
        <v>2183.1999999999998</v>
      </c>
      <c r="S131" s="19">
        <v>2183.1999999999998</v>
      </c>
      <c r="T131" s="19">
        <f>SUM(T132+T133+T134+T135)</f>
        <v>0</v>
      </c>
      <c r="U131" s="19">
        <f>SUM(S131:T131)</f>
        <v>2183.1999999999998</v>
      </c>
      <c r="V131" s="19">
        <v>2183.1999999999998</v>
      </c>
      <c r="W131" s="19">
        <f>SUM(W132+W133+W134+W135)</f>
        <v>0</v>
      </c>
      <c r="X131" s="18">
        <f t="shared" si="24"/>
        <v>2183.1999999999998</v>
      </c>
      <c r="Y131" s="9"/>
      <c r="Z131" s="4"/>
    </row>
    <row r="132" spans="1:26" ht="56.25" hidden="1" customHeight="1" outlineLevel="1" x14ac:dyDescent="0.25">
      <c r="A132" s="45"/>
      <c r="B132" s="38"/>
      <c r="C132" s="46"/>
      <c r="D132" s="14"/>
      <c r="E132" s="147" t="s">
        <v>238</v>
      </c>
      <c r="F132" s="139"/>
      <c r="G132" s="139"/>
      <c r="H132" s="139"/>
      <c r="I132" s="15" t="s">
        <v>75</v>
      </c>
      <c r="J132" s="6" t="s">
        <v>71</v>
      </c>
      <c r="K132" s="6" t="s">
        <v>23</v>
      </c>
      <c r="L132" s="6" t="s">
        <v>13</v>
      </c>
      <c r="M132" s="19">
        <v>163.19999999999999</v>
      </c>
      <c r="N132" s="19"/>
      <c r="O132" s="19">
        <f t="shared" ref="O132:O139" si="40">SUM(M132:N132)</f>
        <v>163.19999999999999</v>
      </c>
      <c r="P132" s="19">
        <v>163.19999999999999</v>
      </c>
      <c r="Q132" s="19"/>
      <c r="R132" s="19">
        <f t="shared" si="38"/>
        <v>163.19999999999999</v>
      </c>
      <c r="S132" s="19">
        <v>163.19999999999999</v>
      </c>
      <c r="T132" s="19"/>
      <c r="U132" s="19">
        <f t="shared" ref="U132:U139" si="41">SUM(S132:T132)</f>
        <v>163.19999999999999</v>
      </c>
      <c r="V132" s="19">
        <v>163.19999999999999</v>
      </c>
      <c r="W132" s="19"/>
      <c r="X132" s="18">
        <f t="shared" si="24"/>
        <v>163.19999999999999</v>
      </c>
      <c r="Y132" s="31"/>
      <c r="Z132" s="4"/>
    </row>
    <row r="133" spans="1:26" ht="49.5" hidden="1" customHeight="1" outlineLevel="1" x14ac:dyDescent="0.25">
      <c r="A133" s="45"/>
      <c r="B133" s="38"/>
      <c r="C133" s="46"/>
      <c r="D133" s="14"/>
      <c r="E133" s="147" t="s">
        <v>239</v>
      </c>
      <c r="F133" s="139"/>
      <c r="G133" s="139"/>
      <c r="H133" s="139"/>
      <c r="I133" s="15" t="s">
        <v>74</v>
      </c>
      <c r="J133" s="6" t="s">
        <v>71</v>
      </c>
      <c r="K133" s="6" t="s">
        <v>23</v>
      </c>
      <c r="L133" s="6" t="s">
        <v>11</v>
      </c>
      <c r="M133" s="19">
        <v>0</v>
      </c>
      <c r="N133" s="19"/>
      <c r="O133" s="19">
        <f t="shared" si="40"/>
        <v>0</v>
      </c>
      <c r="P133" s="19">
        <v>0</v>
      </c>
      <c r="Q133" s="19"/>
      <c r="R133" s="19">
        <f t="shared" si="38"/>
        <v>0</v>
      </c>
      <c r="S133" s="19">
        <v>0</v>
      </c>
      <c r="T133" s="19"/>
      <c r="U133" s="19">
        <f t="shared" si="41"/>
        <v>0</v>
      </c>
      <c r="V133" s="19">
        <v>0</v>
      </c>
      <c r="W133" s="19"/>
      <c r="X133" s="18">
        <f t="shared" si="24"/>
        <v>0</v>
      </c>
      <c r="Y133" s="9"/>
      <c r="Z133" s="4"/>
    </row>
    <row r="134" spans="1:26" ht="78.75" hidden="1" customHeight="1" outlineLevel="1" x14ac:dyDescent="0.25">
      <c r="A134" s="45"/>
      <c r="B134" s="38"/>
      <c r="C134" s="46"/>
      <c r="D134" s="14"/>
      <c r="E134" s="147" t="s">
        <v>240</v>
      </c>
      <c r="F134" s="139"/>
      <c r="G134" s="139"/>
      <c r="H134" s="139"/>
      <c r="I134" s="15" t="s">
        <v>73</v>
      </c>
      <c r="J134" s="6" t="s">
        <v>71</v>
      </c>
      <c r="K134" s="6" t="s">
        <v>23</v>
      </c>
      <c r="L134" s="6" t="s">
        <v>26</v>
      </c>
      <c r="M134" s="19">
        <v>2000</v>
      </c>
      <c r="N134" s="19"/>
      <c r="O134" s="19">
        <f t="shared" si="40"/>
        <v>2000</v>
      </c>
      <c r="P134" s="19">
        <v>2000</v>
      </c>
      <c r="Q134" s="19"/>
      <c r="R134" s="19">
        <f t="shared" si="38"/>
        <v>2000</v>
      </c>
      <c r="S134" s="19">
        <v>2000</v>
      </c>
      <c r="T134" s="19"/>
      <c r="U134" s="19">
        <f t="shared" si="41"/>
        <v>2000</v>
      </c>
      <c r="V134" s="19">
        <v>2000</v>
      </c>
      <c r="W134" s="19"/>
      <c r="X134" s="18">
        <f t="shared" si="24"/>
        <v>2000</v>
      </c>
      <c r="Y134" s="9"/>
      <c r="Z134" s="4"/>
    </row>
    <row r="135" spans="1:26" ht="24.75" hidden="1" customHeight="1" outlineLevel="1" x14ac:dyDescent="0.25">
      <c r="A135" s="45"/>
      <c r="B135" s="38"/>
      <c r="C135" s="46"/>
      <c r="D135" s="14"/>
      <c r="E135" s="147" t="s">
        <v>241</v>
      </c>
      <c r="F135" s="139"/>
      <c r="G135" s="139"/>
      <c r="H135" s="139"/>
      <c r="I135" s="15" t="s">
        <v>72</v>
      </c>
      <c r="J135" s="6" t="s">
        <v>71</v>
      </c>
      <c r="K135" s="6" t="s">
        <v>23</v>
      </c>
      <c r="L135" s="6" t="s">
        <v>10</v>
      </c>
      <c r="M135" s="19">
        <v>20</v>
      </c>
      <c r="N135" s="19"/>
      <c r="O135" s="19">
        <f t="shared" si="40"/>
        <v>20</v>
      </c>
      <c r="P135" s="19">
        <v>20</v>
      </c>
      <c r="Q135" s="19"/>
      <c r="R135" s="19">
        <f t="shared" si="38"/>
        <v>20</v>
      </c>
      <c r="S135" s="19">
        <v>20</v>
      </c>
      <c r="T135" s="19"/>
      <c r="U135" s="19">
        <f t="shared" si="41"/>
        <v>20</v>
      </c>
      <c r="V135" s="19">
        <v>20</v>
      </c>
      <c r="W135" s="19"/>
      <c r="X135" s="18">
        <f t="shared" si="24"/>
        <v>20</v>
      </c>
      <c r="Y135" s="9"/>
      <c r="Z135" s="4"/>
    </row>
    <row r="136" spans="1:26" ht="42.75" customHeight="1" collapsed="1" x14ac:dyDescent="0.25">
      <c r="A136" s="45"/>
      <c r="B136" s="38"/>
      <c r="C136" s="46"/>
      <c r="D136" s="217" t="s">
        <v>242</v>
      </c>
      <c r="E136" s="139"/>
      <c r="F136" s="139"/>
      <c r="G136" s="139"/>
      <c r="H136" s="139"/>
      <c r="I136" s="15" t="s">
        <v>70</v>
      </c>
      <c r="J136" s="6" t="s">
        <v>71</v>
      </c>
      <c r="K136" s="6" t="s">
        <v>18</v>
      </c>
      <c r="L136" s="6" t="s">
        <v>4</v>
      </c>
      <c r="M136" s="19">
        <f>M137+M138+M139</f>
        <v>145</v>
      </c>
      <c r="N136" s="19">
        <f>N137+N138+N139</f>
        <v>0</v>
      </c>
      <c r="O136" s="19">
        <f>O137+O138+O139</f>
        <v>145</v>
      </c>
      <c r="P136" s="19">
        <v>145</v>
      </c>
      <c r="Q136" s="19">
        <f>Q137+Q138+Q139</f>
        <v>0</v>
      </c>
      <c r="R136" s="19">
        <f>R137+R138+R139</f>
        <v>145</v>
      </c>
      <c r="S136" s="19">
        <v>145</v>
      </c>
      <c r="T136" s="19">
        <f>SUM(T137+T138+T139)</f>
        <v>0</v>
      </c>
      <c r="U136" s="19">
        <f t="shared" si="41"/>
        <v>145</v>
      </c>
      <c r="V136" s="19">
        <v>145</v>
      </c>
      <c r="W136" s="19">
        <f>SUM(W137+W138+W139)</f>
        <v>0</v>
      </c>
      <c r="X136" s="18">
        <f t="shared" si="24"/>
        <v>145</v>
      </c>
      <c r="Y136" s="9"/>
      <c r="Z136" s="4"/>
    </row>
    <row r="137" spans="1:26" ht="51" hidden="1" customHeight="1" outlineLevel="1" x14ac:dyDescent="0.25">
      <c r="A137" s="45"/>
      <c r="B137" s="38"/>
      <c r="C137" s="46"/>
      <c r="D137" s="14"/>
      <c r="E137" s="147" t="s">
        <v>243</v>
      </c>
      <c r="F137" s="139"/>
      <c r="G137" s="139"/>
      <c r="H137" s="139"/>
      <c r="I137" s="15" t="s">
        <v>70</v>
      </c>
      <c r="J137" s="6" t="s">
        <v>71</v>
      </c>
      <c r="K137" s="6" t="s">
        <v>18</v>
      </c>
      <c r="L137" s="6" t="s">
        <v>13</v>
      </c>
      <c r="M137" s="19">
        <v>80</v>
      </c>
      <c r="N137" s="19"/>
      <c r="O137" s="19">
        <f t="shared" si="40"/>
        <v>80</v>
      </c>
      <c r="P137" s="19">
        <v>80</v>
      </c>
      <c r="Q137" s="19"/>
      <c r="R137" s="19">
        <f t="shared" ref="R137:R152" si="42">SUM(P137:Q137)</f>
        <v>80</v>
      </c>
      <c r="S137" s="19">
        <v>80</v>
      </c>
      <c r="T137" s="19"/>
      <c r="U137" s="19">
        <f t="shared" si="41"/>
        <v>80</v>
      </c>
      <c r="V137" s="19">
        <v>80</v>
      </c>
      <c r="W137" s="19"/>
      <c r="X137" s="110">
        <f t="shared" si="24"/>
        <v>80</v>
      </c>
      <c r="Y137" s="9"/>
      <c r="Z137" s="4"/>
    </row>
    <row r="138" spans="1:26" ht="32.25" hidden="1" customHeight="1" outlineLevel="1" x14ac:dyDescent="0.25">
      <c r="A138" s="45"/>
      <c r="B138" s="4"/>
      <c r="C138" s="48"/>
      <c r="D138" s="14"/>
      <c r="E138" s="149" t="s">
        <v>350</v>
      </c>
      <c r="F138" s="149"/>
      <c r="G138" s="149"/>
      <c r="H138" s="150"/>
      <c r="I138" s="15"/>
      <c r="J138" s="6">
        <v>17</v>
      </c>
      <c r="K138" s="6">
        <v>2</v>
      </c>
      <c r="L138" s="11" t="s">
        <v>11</v>
      </c>
      <c r="M138" s="19">
        <v>45</v>
      </c>
      <c r="N138" s="19"/>
      <c r="O138" s="19">
        <f t="shared" si="40"/>
        <v>45</v>
      </c>
      <c r="P138" s="19">
        <v>45</v>
      </c>
      <c r="Q138" s="19"/>
      <c r="R138" s="19">
        <f t="shared" si="42"/>
        <v>45</v>
      </c>
      <c r="S138" s="19">
        <v>45</v>
      </c>
      <c r="T138" s="19"/>
      <c r="U138" s="19">
        <f t="shared" si="41"/>
        <v>45</v>
      </c>
      <c r="V138" s="19">
        <v>45</v>
      </c>
      <c r="W138" s="19"/>
      <c r="X138" s="110">
        <f t="shared" ref="X138:X201" si="43">SUM(V138:W138)</f>
        <v>45</v>
      </c>
      <c r="Y138" s="31"/>
      <c r="Z138" s="4"/>
    </row>
    <row r="139" spans="1:26" ht="32.25" hidden="1" customHeight="1" outlineLevel="1" x14ac:dyDescent="0.25">
      <c r="A139" s="45"/>
      <c r="B139" s="4"/>
      <c r="C139" s="48"/>
      <c r="D139" s="14"/>
      <c r="E139" s="149" t="s">
        <v>351</v>
      </c>
      <c r="F139" s="149"/>
      <c r="G139" s="149"/>
      <c r="H139" s="150"/>
      <c r="I139" s="15"/>
      <c r="J139" s="6">
        <v>17</v>
      </c>
      <c r="K139" s="6">
        <v>2</v>
      </c>
      <c r="L139" s="11" t="s">
        <v>10</v>
      </c>
      <c r="M139" s="19">
        <v>20</v>
      </c>
      <c r="N139" s="19"/>
      <c r="O139" s="19">
        <f t="shared" si="40"/>
        <v>20</v>
      </c>
      <c r="P139" s="19">
        <v>20</v>
      </c>
      <c r="Q139" s="19"/>
      <c r="R139" s="19">
        <f t="shared" si="42"/>
        <v>20</v>
      </c>
      <c r="S139" s="19">
        <v>20</v>
      </c>
      <c r="T139" s="19"/>
      <c r="U139" s="19">
        <f t="shared" si="41"/>
        <v>20</v>
      </c>
      <c r="V139" s="19">
        <v>20</v>
      </c>
      <c r="W139" s="19"/>
      <c r="X139" s="110">
        <f t="shared" si="43"/>
        <v>20</v>
      </c>
      <c r="Y139" s="31"/>
      <c r="Z139" s="4"/>
    </row>
    <row r="140" spans="1:26" ht="44.4" customHeight="1" collapsed="1" x14ac:dyDescent="0.25">
      <c r="A140" s="45"/>
      <c r="B140" s="4"/>
      <c r="C140" s="47"/>
      <c r="D140" s="218" t="s">
        <v>300</v>
      </c>
      <c r="E140" s="219"/>
      <c r="F140" s="219"/>
      <c r="G140" s="219"/>
      <c r="H140" s="220"/>
      <c r="I140" s="119" t="s">
        <v>69</v>
      </c>
      <c r="J140" s="120" t="s">
        <v>60</v>
      </c>
      <c r="K140" s="120" t="s">
        <v>4</v>
      </c>
      <c r="L140" s="120" t="s">
        <v>4</v>
      </c>
      <c r="M140" s="108">
        <f>M141+M146+M148</f>
        <v>1400</v>
      </c>
      <c r="N140" s="108">
        <f>N141+N146+N148</f>
        <v>0</v>
      </c>
      <c r="O140" s="107">
        <f>SUM(M140:N140)</f>
        <v>1400</v>
      </c>
      <c r="P140" s="108">
        <v>1400</v>
      </c>
      <c r="Q140" s="108">
        <f>Q141+Q146+Q148</f>
        <v>0</v>
      </c>
      <c r="R140" s="107">
        <f t="shared" si="42"/>
        <v>1400</v>
      </c>
      <c r="S140" s="107">
        <v>1400</v>
      </c>
      <c r="T140" s="107">
        <f>SUM(T141+T146+T148)</f>
        <v>-0.2</v>
      </c>
      <c r="U140" s="107">
        <f>SUM(S140:T140)</f>
        <v>1399.8</v>
      </c>
      <c r="V140" s="107">
        <v>1399.8</v>
      </c>
      <c r="W140" s="107">
        <f>SUM(W141+W146+W148)</f>
        <v>0</v>
      </c>
      <c r="X140" s="110">
        <f t="shared" si="43"/>
        <v>1399.8</v>
      </c>
      <c r="Y140" s="121"/>
      <c r="Z140" s="4"/>
    </row>
    <row r="141" spans="1:26" ht="84" customHeight="1" x14ac:dyDescent="0.25">
      <c r="A141" s="45"/>
      <c r="B141" s="38"/>
      <c r="C141" s="46"/>
      <c r="D141" s="217" t="s">
        <v>244</v>
      </c>
      <c r="E141" s="139"/>
      <c r="F141" s="139"/>
      <c r="G141" s="139"/>
      <c r="H141" s="139"/>
      <c r="I141" s="15" t="s">
        <v>68</v>
      </c>
      <c r="J141" s="6" t="s">
        <v>60</v>
      </c>
      <c r="K141" s="6" t="s">
        <v>23</v>
      </c>
      <c r="L141" s="6" t="s">
        <v>4</v>
      </c>
      <c r="M141" s="19">
        <f>M142+M143+M144+M145</f>
        <v>260</v>
      </c>
      <c r="N141" s="19">
        <f>N142+N143+N144+N145</f>
        <v>0</v>
      </c>
      <c r="O141" s="19">
        <f>SUM(M141:N141)</f>
        <v>260</v>
      </c>
      <c r="P141" s="19">
        <v>260</v>
      </c>
      <c r="Q141" s="19">
        <f>Q142+Q143+Q144+Q145</f>
        <v>0</v>
      </c>
      <c r="R141" s="19">
        <f t="shared" si="42"/>
        <v>260</v>
      </c>
      <c r="S141" s="19">
        <v>245</v>
      </c>
      <c r="T141" s="19">
        <f>SUM(T142+T143+T144+T145)</f>
        <v>0</v>
      </c>
      <c r="U141" s="19">
        <f>SUM(S141:T141)</f>
        <v>245</v>
      </c>
      <c r="V141" s="19">
        <v>245</v>
      </c>
      <c r="W141" s="19">
        <f>SUM(W142+W143+W144+W145)</f>
        <v>0</v>
      </c>
      <c r="X141" s="18">
        <f t="shared" si="43"/>
        <v>245</v>
      </c>
      <c r="Y141" s="9"/>
      <c r="Z141" s="4"/>
    </row>
    <row r="142" spans="1:26" ht="46.5" hidden="1" customHeight="1" outlineLevel="1" x14ac:dyDescent="0.25">
      <c r="A142" s="45"/>
      <c r="B142" s="38"/>
      <c r="C142" s="46"/>
      <c r="D142" s="14"/>
      <c r="E142" s="147" t="s">
        <v>245</v>
      </c>
      <c r="F142" s="139"/>
      <c r="G142" s="139"/>
      <c r="H142" s="139"/>
      <c r="I142" s="15" t="s">
        <v>67</v>
      </c>
      <c r="J142" s="6" t="s">
        <v>60</v>
      </c>
      <c r="K142" s="6" t="s">
        <v>23</v>
      </c>
      <c r="L142" s="6" t="s">
        <v>13</v>
      </c>
      <c r="M142" s="19">
        <v>130</v>
      </c>
      <c r="N142" s="19"/>
      <c r="O142" s="19">
        <f t="shared" ref="O142:O150" si="44">SUM(M142:N142)</f>
        <v>130</v>
      </c>
      <c r="P142" s="19">
        <v>130</v>
      </c>
      <c r="Q142" s="19"/>
      <c r="R142" s="19">
        <f t="shared" si="42"/>
        <v>130</v>
      </c>
      <c r="S142" s="19">
        <v>130</v>
      </c>
      <c r="T142" s="19"/>
      <c r="U142" s="19">
        <f t="shared" ref="U142:U150" si="45">SUM(S142:T142)</f>
        <v>130</v>
      </c>
      <c r="V142" s="19">
        <v>130</v>
      </c>
      <c r="W142" s="19"/>
      <c r="X142" s="18">
        <f t="shared" si="43"/>
        <v>130</v>
      </c>
      <c r="Y142" s="9"/>
      <c r="Z142" s="4"/>
    </row>
    <row r="143" spans="1:26" ht="45" hidden="1" customHeight="1" outlineLevel="1" x14ac:dyDescent="0.25">
      <c r="A143" s="45"/>
      <c r="B143" s="38"/>
      <c r="C143" s="46"/>
      <c r="D143" s="14"/>
      <c r="E143" s="147" t="s">
        <v>246</v>
      </c>
      <c r="F143" s="139"/>
      <c r="G143" s="139"/>
      <c r="H143" s="139"/>
      <c r="I143" s="15" t="s">
        <v>66</v>
      </c>
      <c r="J143" s="6" t="s">
        <v>60</v>
      </c>
      <c r="K143" s="6" t="s">
        <v>23</v>
      </c>
      <c r="L143" s="6" t="s">
        <v>11</v>
      </c>
      <c r="M143" s="19">
        <v>100</v>
      </c>
      <c r="N143" s="19"/>
      <c r="O143" s="19">
        <f t="shared" si="44"/>
        <v>100</v>
      </c>
      <c r="P143" s="19">
        <v>100</v>
      </c>
      <c r="Q143" s="19"/>
      <c r="R143" s="19">
        <f t="shared" si="42"/>
        <v>100</v>
      </c>
      <c r="S143" s="19">
        <v>100</v>
      </c>
      <c r="T143" s="19"/>
      <c r="U143" s="19">
        <f t="shared" si="45"/>
        <v>100</v>
      </c>
      <c r="V143" s="19">
        <v>100</v>
      </c>
      <c r="W143" s="19"/>
      <c r="X143" s="18">
        <f t="shared" si="43"/>
        <v>100</v>
      </c>
      <c r="Y143" s="9"/>
      <c r="Z143" s="4"/>
    </row>
    <row r="144" spans="1:26" ht="48.75" hidden="1" customHeight="1" outlineLevel="1" x14ac:dyDescent="0.25">
      <c r="A144" s="45"/>
      <c r="B144" s="38"/>
      <c r="C144" s="46"/>
      <c r="D144" s="14"/>
      <c r="E144" s="147" t="s">
        <v>247</v>
      </c>
      <c r="F144" s="139"/>
      <c r="G144" s="139"/>
      <c r="H144" s="139"/>
      <c r="I144" s="15" t="s">
        <v>65</v>
      </c>
      <c r="J144" s="6" t="s">
        <v>60</v>
      </c>
      <c r="K144" s="6" t="s">
        <v>23</v>
      </c>
      <c r="L144" s="6" t="s">
        <v>26</v>
      </c>
      <c r="M144" s="19">
        <v>0</v>
      </c>
      <c r="N144" s="19"/>
      <c r="O144" s="19">
        <f t="shared" si="44"/>
        <v>0</v>
      </c>
      <c r="P144" s="19">
        <v>0</v>
      </c>
      <c r="Q144" s="19"/>
      <c r="R144" s="19">
        <f t="shared" si="42"/>
        <v>0</v>
      </c>
      <c r="S144" s="19">
        <v>0</v>
      </c>
      <c r="T144" s="19"/>
      <c r="U144" s="19">
        <f t="shared" si="45"/>
        <v>0</v>
      </c>
      <c r="V144" s="19">
        <v>0</v>
      </c>
      <c r="W144" s="19"/>
      <c r="X144" s="18">
        <f t="shared" si="43"/>
        <v>0</v>
      </c>
      <c r="Y144" s="9"/>
      <c r="Z144" s="4"/>
    </row>
    <row r="145" spans="1:37" ht="73.5" hidden="1" customHeight="1" outlineLevel="1" x14ac:dyDescent="0.25">
      <c r="A145" s="45"/>
      <c r="B145" s="38"/>
      <c r="C145" s="46"/>
      <c r="D145" s="14"/>
      <c r="E145" s="147" t="s">
        <v>248</v>
      </c>
      <c r="F145" s="139"/>
      <c r="G145" s="139"/>
      <c r="H145" s="139"/>
      <c r="I145" s="15" t="s">
        <v>64</v>
      </c>
      <c r="J145" s="6" t="s">
        <v>60</v>
      </c>
      <c r="K145" s="6" t="s">
        <v>23</v>
      </c>
      <c r="L145" s="6" t="s">
        <v>7</v>
      </c>
      <c r="M145" s="19">
        <v>30</v>
      </c>
      <c r="N145" s="19"/>
      <c r="O145" s="19">
        <f t="shared" si="44"/>
        <v>30</v>
      </c>
      <c r="P145" s="19">
        <v>30</v>
      </c>
      <c r="Q145" s="19"/>
      <c r="R145" s="19">
        <f t="shared" si="42"/>
        <v>30</v>
      </c>
      <c r="S145" s="19">
        <v>15</v>
      </c>
      <c r="T145" s="19"/>
      <c r="U145" s="19">
        <f t="shared" si="45"/>
        <v>15</v>
      </c>
      <c r="V145" s="19">
        <v>15</v>
      </c>
      <c r="W145" s="19"/>
      <c r="X145" s="18">
        <f t="shared" si="43"/>
        <v>15</v>
      </c>
      <c r="Y145" s="9"/>
      <c r="Z145" s="4"/>
    </row>
    <row r="146" spans="1:37" ht="39.75" customHeight="1" collapsed="1" x14ac:dyDescent="0.25">
      <c r="A146" s="45"/>
      <c r="B146" s="38"/>
      <c r="C146" s="46"/>
      <c r="D146" s="217" t="s">
        <v>249</v>
      </c>
      <c r="E146" s="139"/>
      <c r="F146" s="139"/>
      <c r="G146" s="139"/>
      <c r="H146" s="139"/>
      <c r="I146" s="15" t="s">
        <v>63</v>
      </c>
      <c r="J146" s="6" t="s">
        <v>60</v>
      </c>
      <c r="K146" s="6" t="s">
        <v>18</v>
      </c>
      <c r="L146" s="6" t="s">
        <v>4</v>
      </c>
      <c r="M146" s="19">
        <f>M147</f>
        <v>20</v>
      </c>
      <c r="N146" s="19">
        <f>N147</f>
        <v>0</v>
      </c>
      <c r="O146" s="19">
        <f>SUM(M146:N146)</f>
        <v>20</v>
      </c>
      <c r="P146" s="19">
        <v>20</v>
      </c>
      <c r="Q146" s="19">
        <f>Q147</f>
        <v>0</v>
      </c>
      <c r="R146" s="19">
        <f t="shared" si="42"/>
        <v>20</v>
      </c>
      <c r="S146" s="19">
        <v>35</v>
      </c>
      <c r="T146" s="19">
        <f>SUM(T147)</f>
        <v>0</v>
      </c>
      <c r="U146" s="19">
        <f t="shared" si="45"/>
        <v>35</v>
      </c>
      <c r="V146" s="19">
        <v>35</v>
      </c>
      <c r="W146" s="19">
        <f>SUM(W147)</f>
        <v>0</v>
      </c>
      <c r="X146" s="18">
        <f t="shared" si="43"/>
        <v>35</v>
      </c>
      <c r="Y146" s="9"/>
      <c r="Z146" s="4"/>
    </row>
    <row r="147" spans="1:37" ht="56.25" hidden="1" customHeight="1" outlineLevel="1" x14ac:dyDescent="0.25">
      <c r="A147" s="45"/>
      <c r="B147" s="38"/>
      <c r="C147" s="46"/>
      <c r="D147" s="14"/>
      <c r="E147" s="139" t="s">
        <v>250</v>
      </c>
      <c r="F147" s="139"/>
      <c r="G147" s="139"/>
      <c r="H147" s="139"/>
      <c r="I147" s="15" t="s">
        <v>63</v>
      </c>
      <c r="J147" s="6" t="s">
        <v>60</v>
      </c>
      <c r="K147" s="6" t="s">
        <v>18</v>
      </c>
      <c r="L147" s="6" t="s">
        <v>13</v>
      </c>
      <c r="M147" s="19">
        <v>20</v>
      </c>
      <c r="N147" s="19"/>
      <c r="O147" s="19">
        <f t="shared" si="44"/>
        <v>20</v>
      </c>
      <c r="P147" s="19">
        <v>20</v>
      </c>
      <c r="Q147" s="19"/>
      <c r="R147" s="19">
        <f t="shared" si="42"/>
        <v>20</v>
      </c>
      <c r="S147" s="19">
        <v>35</v>
      </c>
      <c r="T147" s="19"/>
      <c r="U147" s="19">
        <f t="shared" si="45"/>
        <v>35</v>
      </c>
      <c r="V147" s="19">
        <v>35</v>
      </c>
      <c r="W147" s="19"/>
      <c r="X147" s="18">
        <f t="shared" si="43"/>
        <v>35</v>
      </c>
      <c r="Y147" s="9"/>
      <c r="Z147" s="4"/>
    </row>
    <row r="148" spans="1:37" ht="34.5" customHeight="1" collapsed="1" x14ac:dyDescent="0.25">
      <c r="A148" s="45"/>
      <c r="B148" s="38"/>
      <c r="C148" s="46"/>
      <c r="D148" s="217" t="s">
        <v>251</v>
      </c>
      <c r="E148" s="139"/>
      <c r="F148" s="139"/>
      <c r="G148" s="139"/>
      <c r="H148" s="139"/>
      <c r="I148" s="15" t="s">
        <v>62</v>
      </c>
      <c r="J148" s="6" t="s">
        <v>60</v>
      </c>
      <c r="K148" s="6" t="s">
        <v>27</v>
      </c>
      <c r="L148" s="6" t="s">
        <v>4</v>
      </c>
      <c r="M148" s="19">
        <f>M149+M150</f>
        <v>1120</v>
      </c>
      <c r="N148" s="19">
        <f>N149+N150</f>
        <v>0</v>
      </c>
      <c r="O148" s="19">
        <f>SUM(M148:N148)</f>
        <v>1120</v>
      </c>
      <c r="P148" s="19">
        <v>1120</v>
      </c>
      <c r="Q148" s="19">
        <f>Q149+Q150</f>
        <v>0</v>
      </c>
      <c r="R148" s="19">
        <f t="shared" si="42"/>
        <v>1120</v>
      </c>
      <c r="S148" s="19">
        <v>1120</v>
      </c>
      <c r="T148" s="19">
        <f>SUM(T149+T150)</f>
        <v>-0.2</v>
      </c>
      <c r="U148" s="19">
        <f t="shared" si="45"/>
        <v>1119.8</v>
      </c>
      <c r="V148" s="19">
        <v>1119.8</v>
      </c>
      <c r="W148" s="19">
        <f>SUM(W149+W150)</f>
        <v>0</v>
      </c>
      <c r="X148" s="18">
        <f t="shared" si="43"/>
        <v>1119.8</v>
      </c>
      <c r="Y148" s="9"/>
      <c r="Z148" s="4"/>
    </row>
    <row r="149" spans="1:37" ht="26.25" hidden="1" customHeight="1" outlineLevel="1" x14ac:dyDescent="0.25">
      <c r="A149" s="45"/>
      <c r="B149" s="38"/>
      <c r="C149" s="46"/>
      <c r="D149" s="14"/>
      <c r="E149" s="147" t="s">
        <v>252</v>
      </c>
      <c r="F149" s="139"/>
      <c r="G149" s="139"/>
      <c r="H149" s="139"/>
      <c r="I149" s="15" t="s">
        <v>61</v>
      </c>
      <c r="J149" s="6" t="s">
        <v>60</v>
      </c>
      <c r="K149" s="6" t="s">
        <v>27</v>
      </c>
      <c r="L149" s="6" t="s">
        <v>13</v>
      </c>
      <c r="M149" s="19">
        <v>20</v>
      </c>
      <c r="N149" s="19"/>
      <c r="O149" s="19">
        <f t="shared" si="44"/>
        <v>20</v>
      </c>
      <c r="P149" s="19">
        <v>20</v>
      </c>
      <c r="Q149" s="19"/>
      <c r="R149" s="19">
        <f t="shared" si="42"/>
        <v>20</v>
      </c>
      <c r="S149" s="19">
        <v>20</v>
      </c>
      <c r="T149" s="19"/>
      <c r="U149" s="19">
        <f t="shared" si="45"/>
        <v>20</v>
      </c>
      <c r="V149" s="19">
        <v>20</v>
      </c>
      <c r="W149" s="19"/>
      <c r="X149" s="110">
        <f t="shared" si="43"/>
        <v>20</v>
      </c>
      <c r="Y149" s="9"/>
      <c r="Z149" s="4"/>
    </row>
    <row r="150" spans="1:37" ht="76.5" hidden="1" customHeight="1" outlineLevel="1" x14ac:dyDescent="0.25">
      <c r="A150" s="45"/>
      <c r="B150" s="38"/>
      <c r="C150" s="46"/>
      <c r="D150" s="14"/>
      <c r="E150" s="139" t="s">
        <v>345</v>
      </c>
      <c r="F150" s="139"/>
      <c r="G150" s="139"/>
      <c r="H150" s="139"/>
      <c r="I150" s="15" t="s">
        <v>59</v>
      </c>
      <c r="J150" s="6" t="s">
        <v>60</v>
      </c>
      <c r="K150" s="6" t="s">
        <v>27</v>
      </c>
      <c r="L150" s="6" t="s">
        <v>11</v>
      </c>
      <c r="M150" s="19">
        <v>1100</v>
      </c>
      <c r="N150" s="19"/>
      <c r="O150" s="19">
        <f t="shared" si="44"/>
        <v>1100</v>
      </c>
      <c r="P150" s="19">
        <v>1100</v>
      </c>
      <c r="Q150" s="19"/>
      <c r="R150" s="19">
        <f t="shared" si="42"/>
        <v>1100</v>
      </c>
      <c r="S150" s="19">
        <v>1100</v>
      </c>
      <c r="T150" s="19">
        <f>-0.2</f>
        <v>-0.2</v>
      </c>
      <c r="U150" s="19">
        <f t="shared" si="45"/>
        <v>1099.8</v>
      </c>
      <c r="V150" s="19">
        <v>1099.8</v>
      </c>
      <c r="W150" s="19"/>
      <c r="X150" s="110">
        <f t="shared" si="43"/>
        <v>1099.8</v>
      </c>
      <c r="Y150" s="9"/>
      <c r="Z150" s="4">
        <v>0</v>
      </c>
      <c r="AA150" s="86"/>
      <c r="AE150" s="86"/>
    </row>
    <row r="151" spans="1:37" ht="119.25" customHeight="1" collapsed="1" x14ac:dyDescent="0.25">
      <c r="A151" s="45"/>
      <c r="B151" s="4"/>
      <c r="C151" s="47"/>
      <c r="D151" s="218" t="s">
        <v>301</v>
      </c>
      <c r="E151" s="219"/>
      <c r="F151" s="219"/>
      <c r="G151" s="219"/>
      <c r="H151" s="220"/>
      <c r="I151" s="119" t="s">
        <v>58</v>
      </c>
      <c r="J151" s="120" t="s">
        <v>41</v>
      </c>
      <c r="K151" s="126" t="s">
        <v>4</v>
      </c>
      <c r="L151" s="126" t="s">
        <v>4</v>
      </c>
      <c r="M151" s="127">
        <f>M152+M162+M169+M173</f>
        <v>2521498.9999999995</v>
      </c>
      <c r="N151" s="127">
        <f>N152+N162+N169+N173</f>
        <v>5338.2</v>
      </c>
      <c r="O151" s="107">
        <f>SUM(M151:N151)</f>
        <v>2526837.1999999997</v>
      </c>
      <c r="P151" s="127">
        <v>2526837.1999999997</v>
      </c>
      <c r="Q151" s="127">
        <f>Q152+Q162+Q169+Q173</f>
        <v>19128</v>
      </c>
      <c r="R151" s="107">
        <f t="shared" si="42"/>
        <v>2545965.1999999997</v>
      </c>
      <c r="S151" s="107">
        <v>2588897.9999999995</v>
      </c>
      <c r="T151" s="107">
        <f>T152+T162+T169+T173</f>
        <v>46748.899999999994</v>
      </c>
      <c r="U151" s="107">
        <f>S151+T151</f>
        <v>2635646.8999999994</v>
      </c>
      <c r="V151" s="107">
        <v>2635646.8999999994</v>
      </c>
      <c r="W151" s="107">
        <f>W152+W162+W169+W173</f>
        <v>5010.8999999999996</v>
      </c>
      <c r="X151" s="110">
        <f t="shared" si="43"/>
        <v>2640657.7999999993</v>
      </c>
      <c r="Y151" s="9"/>
      <c r="Z151" s="4"/>
    </row>
    <row r="152" spans="1:37" ht="20.25" customHeight="1" x14ac:dyDescent="0.25">
      <c r="A152" s="45"/>
      <c r="B152" s="38"/>
      <c r="C152" s="46"/>
      <c r="D152" s="230" t="s">
        <v>339</v>
      </c>
      <c r="E152" s="231"/>
      <c r="F152" s="231"/>
      <c r="G152" s="231"/>
      <c r="H152" s="232"/>
      <c r="I152" s="236" t="s">
        <v>57</v>
      </c>
      <c r="J152" s="238">
        <v>20</v>
      </c>
      <c r="K152" s="238" t="s">
        <v>23</v>
      </c>
      <c r="L152" s="240" t="s">
        <v>4</v>
      </c>
      <c r="M152" s="214">
        <f>M154+M155+M156+M157+M158+M159+M160</f>
        <v>2413328.4</v>
      </c>
      <c r="N152" s="214">
        <f>N154+N155+N156+N157+N158+N159+N160</f>
        <v>330</v>
      </c>
      <c r="O152" s="214">
        <f>SUM(M152:N152)</f>
        <v>2413658.4</v>
      </c>
      <c r="P152" s="214">
        <v>2413658.4</v>
      </c>
      <c r="Q152" s="214">
        <f>Q154+Q155+Q156+Q157+Q158+Q159+Q160</f>
        <v>16057.199999999999</v>
      </c>
      <c r="R152" s="214">
        <f t="shared" si="42"/>
        <v>2429715.6</v>
      </c>
      <c r="S152" s="212">
        <v>2449319</v>
      </c>
      <c r="T152" s="212">
        <f>T154+T155+T156+T157+T158+T159+T160+T161</f>
        <v>43970.799999999996</v>
      </c>
      <c r="U152" s="212">
        <f>S152+T152</f>
        <v>2493289.7999999998</v>
      </c>
      <c r="V152" s="212">
        <v>2493289.7999999998</v>
      </c>
      <c r="W152" s="214">
        <f>W154+W155+W156+W157+W158+W159+W160+W161</f>
        <v>4800.2999999999993</v>
      </c>
      <c r="X152" s="214">
        <f t="shared" si="43"/>
        <v>2498090.0999999996</v>
      </c>
      <c r="Y152" s="228" t="s">
        <v>482</v>
      </c>
      <c r="Z152" s="4"/>
    </row>
    <row r="153" spans="1:37" ht="258.60000000000002" customHeight="1" x14ac:dyDescent="0.25">
      <c r="A153" s="45"/>
      <c r="B153" s="38"/>
      <c r="C153" s="46"/>
      <c r="D153" s="233"/>
      <c r="E153" s="234"/>
      <c r="F153" s="234"/>
      <c r="G153" s="234"/>
      <c r="H153" s="235"/>
      <c r="I153" s="237"/>
      <c r="J153" s="239"/>
      <c r="K153" s="239"/>
      <c r="L153" s="241"/>
      <c r="M153" s="227"/>
      <c r="N153" s="227"/>
      <c r="O153" s="227"/>
      <c r="P153" s="227"/>
      <c r="Q153" s="227"/>
      <c r="R153" s="227"/>
      <c r="S153" s="213"/>
      <c r="T153" s="213"/>
      <c r="U153" s="213"/>
      <c r="V153" s="213"/>
      <c r="W153" s="216"/>
      <c r="X153" s="215"/>
      <c r="Y153" s="229"/>
      <c r="Z153" s="4"/>
      <c r="AA153" s="49"/>
    </row>
    <row r="154" spans="1:37" ht="67.5" hidden="1" customHeight="1" outlineLevel="1" x14ac:dyDescent="0.25">
      <c r="A154" s="45"/>
      <c r="B154" s="38"/>
      <c r="C154" s="46"/>
      <c r="D154" s="14"/>
      <c r="E154" s="147" t="s">
        <v>253</v>
      </c>
      <c r="F154" s="139"/>
      <c r="G154" s="139"/>
      <c r="H154" s="139"/>
      <c r="I154" s="15" t="s">
        <v>56</v>
      </c>
      <c r="J154" s="6" t="s">
        <v>41</v>
      </c>
      <c r="K154" s="6" t="s">
        <v>23</v>
      </c>
      <c r="L154" s="6" t="s">
        <v>13</v>
      </c>
      <c r="M154" s="19">
        <v>33361.5</v>
      </c>
      <c r="N154" s="19"/>
      <c r="O154" s="19">
        <f t="shared" ref="O154:O176" si="46">SUM(M154:N154)</f>
        <v>33361.5</v>
      </c>
      <c r="P154" s="19">
        <v>33361.5</v>
      </c>
      <c r="Q154" s="19"/>
      <c r="R154" s="19">
        <f t="shared" ref="R154:R160" si="47">SUM(P154:Q154)</f>
        <v>33361.5</v>
      </c>
      <c r="S154" s="19">
        <v>33761.199999999997</v>
      </c>
      <c r="T154" s="19">
        <f>2206.3-49.9</f>
        <v>2156.4</v>
      </c>
      <c r="U154" s="19">
        <f>SUM(S154:T154)</f>
        <v>35917.599999999999</v>
      </c>
      <c r="V154" s="19">
        <v>35917.599999999999</v>
      </c>
      <c r="W154" s="19">
        <v>-94</v>
      </c>
      <c r="X154" s="110">
        <f t="shared" si="43"/>
        <v>35823.599999999999</v>
      </c>
      <c r="Y154" s="30" t="s">
        <v>476</v>
      </c>
      <c r="Z154" s="4"/>
    </row>
    <row r="155" spans="1:37" ht="118.5" hidden="1" customHeight="1" outlineLevel="1" x14ac:dyDescent="0.25">
      <c r="A155" s="45"/>
      <c r="B155" s="38"/>
      <c r="C155" s="46"/>
      <c r="D155" s="14"/>
      <c r="E155" s="147" t="s">
        <v>254</v>
      </c>
      <c r="F155" s="139"/>
      <c r="G155" s="139"/>
      <c r="H155" s="139"/>
      <c r="I155" s="15" t="s">
        <v>55</v>
      </c>
      <c r="J155" s="6" t="s">
        <v>41</v>
      </c>
      <c r="K155" s="6" t="s">
        <v>23</v>
      </c>
      <c r="L155" s="6" t="s">
        <v>11</v>
      </c>
      <c r="M155" s="19">
        <v>2169569.1</v>
      </c>
      <c r="N155" s="19">
        <f>330</f>
        <v>330</v>
      </c>
      <c r="O155" s="19">
        <f t="shared" si="46"/>
        <v>2169899.1</v>
      </c>
      <c r="P155" s="19">
        <v>2169899.1</v>
      </c>
      <c r="Q155" s="19">
        <f>15865.8+505.4-1044-117.1+1096.6+6.7-745</f>
        <v>15568.4</v>
      </c>
      <c r="R155" s="19">
        <f t="shared" si="47"/>
        <v>2185467.5</v>
      </c>
      <c r="S155" s="19">
        <v>2216866.5</v>
      </c>
      <c r="T155" s="19">
        <f>300+41010+2124.7-49.9-953.6</f>
        <v>42431.199999999997</v>
      </c>
      <c r="U155" s="19">
        <f>SUM(S155:T155)</f>
        <v>2259297.7000000002</v>
      </c>
      <c r="V155" s="19">
        <v>2259297.7000000002</v>
      </c>
      <c r="W155" s="19">
        <f>3532-203.6+1005</f>
        <v>4333.3999999999996</v>
      </c>
      <c r="X155" s="110">
        <f t="shared" si="43"/>
        <v>2263631.1</v>
      </c>
      <c r="Y155" s="9" t="s">
        <v>460</v>
      </c>
      <c r="Z155" s="4"/>
      <c r="AF155" s="86"/>
      <c r="AG155" s="86"/>
      <c r="AK155" s="86"/>
    </row>
    <row r="156" spans="1:37" ht="57" hidden="1" customHeight="1" outlineLevel="1" x14ac:dyDescent="0.25">
      <c r="A156" s="45"/>
      <c r="B156" s="38"/>
      <c r="C156" s="46"/>
      <c r="D156" s="14"/>
      <c r="E156" s="147" t="s">
        <v>255</v>
      </c>
      <c r="F156" s="139"/>
      <c r="G156" s="139"/>
      <c r="H156" s="139"/>
      <c r="I156" s="15" t="s">
        <v>54</v>
      </c>
      <c r="J156" s="6" t="s">
        <v>41</v>
      </c>
      <c r="K156" s="6" t="s">
        <v>23</v>
      </c>
      <c r="L156" s="6" t="s">
        <v>26</v>
      </c>
      <c r="M156" s="19">
        <v>33515</v>
      </c>
      <c r="N156" s="19"/>
      <c r="O156" s="19">
        <f t="shared" si="46"/>
        <v>33515</v>
      </c>
      <c r="P156" s="19">
        <v>33515</v>
      </c>
      <c r="Q156" s="19"/>
      <c r="R156" s="19">
        <f t="shared" si="47"/>
        <v>33515</v>
      </c>
      <c r="S156" s="19">
        <v>33515</v>
      </c>
      <c r="T156" s="19"/>
      <c r="U156" s="19">
        <f t="shared" ref="U156:U160" si="48">SUM(S156:T156)</f>
        <v>33515</v>
      </c>
      <c r="V156" s="19">
        <v>33515</v>
      </c>
      <c r="W156" s="19"/>
      <c r="X156" s="110">
        <f t="shared" si="43"/>
        <v>33515</v>
      </c>
      <c r="Y156" s="128"/>
      <c r="Z156" s="4"/>
    </row>
    <row r="157" spans="1:37" ht="73.5" hidden="1" customHeight="1" outlineLevel="1" x14ac:dyDescent="0.25">
      <c r="A157" s="45"/>
      <c r="B157" s="38"/>
      <c r="C157" s="46"/>
      <c r="D157" s="14"/>
      <c r="E157" s="147" t="s">
        <v>256</v>
      </c>
      <c r="F157" s="139"/>
      <c r="G157" s="139"/>
      <c r="H157" s="139"/>
      <c r="I157" s="15" t="s">
        <v>53</v>
      </c>
      <c r="J157" s="6" t="s">
        <v>41</v>
      </c>
      <c r="K157" s="6" t="s">
        <v>23</v>
      </c>
      <c r="L157" s="6" t="s">
        <v>10</v>
      </c>
      <c r="M157" s="19">
        <v>0</v>
      </c>
      <c r="N157" s="19"/>
      <c r="O157" s="19">
        <f t="shared" si="46"/>
        <v>0</v>
      </c>
      <c r="P157" s="19">
        <v>0</v>
      </c>
      <c r="Q157" s="19"/>
      <c r="R157" s="19">
        <f t="shared" si="47"/>
        <v>0</v>
      </c>
      <c r="S157" s="19">
        <v>0</v>
      </c>
      <c r="T157" s="19"/>
      <c r="U157" s="19">
        <f t="shared" si="48"/>
        <v>0</v>
      </c>
      <c r="V157" s="19">
        <v>0</v>
      </c>
      <c r="W157" s="19"/>
      <c r="X157" s="110">
        <f t="shared" si="43"/>
        <v>0</v>
      </c>
      <c r="Y157" s="9"/>
      <c r="Z157" s="4"/>
    </row>
    <row r="158" spans="1:37" ht="43.5" hidden="1" customHeight="1" outlineLevel="1" x14ac:dyDescent="0.25">
      <c r="A158" s="45"/>
      <c r="B158" s="38"/>
      <c r="C158" s="46"/>
      <c r="D158" s="14"/>
      <c r="E158" s="147" t="s">
        <v>257</v>
      </c>
      <c r="F158" s="139"/>
      <c r="G158" s="139"/>
      <c r="H158" s="139"/>
      <c r="I158" s="15" t="s">
        <v>52</v>
      </c>
      <c r="J158" s="6" t="s">
        <v>41</v>
      </c>
      <c r="K158" s="6" t="s">
        <v>23</v>
      </c>
      <c r="L158" s="6" t="s">
        <v>7</v>
      </c>
      <c r="M158" s="19">
        <v>2500</v>
      </c>
      <c r="N158" s="19"/>
      <c r="O158" s="19">
        <f t="shared" si="46"/>
        <v>2500</v>
      </c>
      <c r="P158" s="19">
        <v>2500</v>
      </c>
      <c r="Q158" s="19"/>
      <c r="R158" s="19">
        <f t="shared" si="47"/>
        <v>2500</v>
      </c>
      <c r="S158" s="19">
        <v>2650</v>
      </c>
      <c r="T158" s="19">
        <v>-114.5</v>
      </c>
      <c r="U158" s="19">
        <f t="shared" si="48"/>
        <v>2535.5</v>
      </c>
      <c r="V158" s="19">
        <v>2535.5</v>
      </c>
      <c r="W158" s="19"/>
      <c r="X158" s="18">
        <f t="shared" si="43"/>
        <v>2535.5</v>
      </c>
      <c r="Y158" s="9"/>
      <c r="Z158" s="4"/>
    </row>
    <row r="159" spans="1:37" ht="63.75" hidden="1" customHeight="1" outlineLevel="1" x14ac:dyDescent="0.25">
      <c r="A159" s="45"/>
      <c r="B159" s="38"/>
      <c r="C159" s="46"/>
      <c r="D159" s="14"/>
      <c r="E159" s="147" t="s">
        <v>258</v>
      </c>
      <c r="F159" s="139"/>
      <c r="G159" s="139"/>
      <c r="H159" s="139"/>
      <c r="I159" s="15" t="s">
        <v>51</v>
      </c>
      <c r="J159" s="6" t="s">
        <v>41</v>
      </c>
      <c r="K159" s="6" t="s">
        <v>23</v>
      </c>
      <c r="L159" s="6" t="s">
        <v>5</v>
      </c>
      <c r="M159" s="19">
        <v>13108.4</v>
      </c>
      <c r="N159" s="19"/>
      <c r="O159" s="19">
        <f t="shared" si="46"/>
        <v>13108.4</v>
      </c>
      <c r="P159" s="19">
        <v>13108.4</v>
      </c>
      <c r="Q159" s="19">
        <f>488.8</f>
        <v>488.8</v>
      </c>
      <c r="R159" s="19">
        <f t="shared" si="47"/>
        <v>13597.199999999999</v>
      </c>
      <c r="S159" s="19">
        <v>13623.8</v>
      </c>
      <c r="T159" s="19">
        <f>494+1068.1</f>
        <v>1562.1</v>
      </c>
      <c r="U159" s="19">
        <f t="shared" si="48"/>
        <v>15185.9</v>
      </c>
      <c r="V159" s="19">
        <v>15185.9</v>
      </c>
      <c r="W159" s="19"/>
      <c r="X159" s="18">
        <f t="shared" si="43"/>
        <v>15185.9</v>
      </c>
      <c r="Y159" s="9"/>
      <c r="Z159" s="4"/>
    </row>
    <row r="160" spans="1:37" ht="87.75" hidden="1" customHeight="1" outlineLevel="1" x14ac:dyDescent="0.25">
      <c r="A160" s="45"/>
      <c r="B160" s="38"/>
      <c r="C160" s="46"/>
      <c r="D160" s="14"/>
      <c r="E160" s="147" t="s">
        <v>259</v>
      </c>
      <c r="F160" s="139"/>
      <c r="G160" s="139"/>
      <c r="H160" s="139"/>
      <c r="I160" s="15" t="s">
        <v>50</v>
      </c>
      <c r="J160" s="6" t="s">
        <v>41</v>
      </c>
      <c r="K160" s="6" t="s">
        <v>23</v>
      </c>
      <c r="L160" s="6" t="s">
        <v>1</v>
      </c>
      <c r="M160" s="19">
        <v>161274.4</v>
      </c>
      <c r="N160" s="19"/>
      <c r="O160" s="19">
        <f t="shared" si="46"/>
        <v>161274.4</v>
      </c>
      <c r="P160" s="19">
        <v>161274.4</v>
      </c>
      <c r="Q160" s="19"/>
      <c r="R160" s="19">
        <f t="shared" si="47"/>
        <v>161274.4</v>
      </c>
      <c r="S160" s="19">
        <v>148902.5</v>
      </c>
      <c r="T160" s="19">
        <v>-2064.4</v>
      </c>
      <c r="U160" s="19">
        <f t="shared" si="48"/>
        <v>146838.1</v>
      </c>
      <c r="V160" s="19">
        <v>146838.1</v>
      </c>
      <c r="W160" s="19"/>
      <c r="X160" s="18">
        <f t="shared" si="43"/>
        <v>146838.1</v>
      </c>
      <c r="Y160" s="9"/>
      <c r="Z160" s="4" t="s">
        <v>297</v>
      </c>
    </row>
    <row r="161" spans="1:26" ht="0.6" customHeight="1" outlineLevel="1" x14ac:dyDescent="0.25">
      <c r="A161" s="45"/>
      <c r="B161" s="38"/>
      <c r="C161" s="46"/>
      <c r="D161" s="14"/>
      <c r="E161" s="156" t="s">
        <v>458</v>
      </c>
      <c r="F161" s="141"/>
      <c r="G161" s="141"/>
      <c r="H161" s="142"/>
      <c r="I161" s="15"/>
      <c r="J161" s="6">
        <v>20</v>
      </c>
      <c r="K161" s="6">
        <v>1</v>
      </c>
      <c r="L161" s="6" t="s">
        <v>457</v>
      </c>
      <c r="M161" s="19">
        <v>0</v>
      </c>
      <c r="N161" s="19"/>
      <c r="O161" s="19">
        <f>SUM(M161:N161)</f>
        <v>0</v>
      </c>
      <c r="P161" s="19">
        <v>0</v>
      </c>
      <c r="Q161" s="19"/>
      <c r="R161" s="19">
        <f>SUM(P161:Q161)</f>
        <v>0</v>
      </c>
      <c r="S161" s="19">
        <v>0</v>
      </c>
      <c r="T161" s="19"/>
      <c r="U161" s="19">
        <f>SUM(S161:T161)</f>
        <v>0</v>
      </c>
      <c r="V161" s="19">
        <v>0</v>
      </c>
      <c r="W161" s="19">
        <v>560.9</v>
      </c>
      <c r="X161" s="18">
        <f>SUM(V161:W161)</f>
        <v>560.9</v>
      </c>
      <c r="Y161" s="9"/>
      <c r="Z161" s="4"/>
    </row>
    <row r="162" spans="1:26" ht="55.5" customHeight="1" x14ac:dyDescent="0.25">
      <c r="A162" s="45"/>
      <c r="B162" s="38"/>
      <c r="C162" s="46"/>
      <c r="D162" s="224" t="s">
        <v>302</v>
      </c>
      <c r="E162" s="139"/>
      <c r="F162" s="139"/>
      <c r="G162" s="139"/>
      <c r="H162" s="139"/>
      <c r="I162" s="15" t="s">
        <v>49</v>
      </c>
      <c r="J162" s="6" t="s">
        <v>41</v>
      </c>
      <c r="K162" s="6" t="s">
        <v>18</v>
      </c>
      <c r="L162" s="6" t="s">
        <v>4</v>
      </c>
      <c r="M162" s="19">
        <f>M163+M164+M165+M166+M167+M168</f>
        <v>11905.3</v>
      </c>
      <c r="N162" s="19">
        <f>N163+N164+N165+N166+N167+N168</f>
        <v>0</v>
      </c>
      <c r="O162" s="19">
        <f>SUM(M162:N162)</f>
        <v>11905.3</v>
      </c>
      <c r="P162" s="19">
        <v>11905.3</v>
      </c>
      <c r="Q162" s="19">
        <f>Q163+Q164+Q165+Q166+Q167+Q168</f>
        <v>2361.1</v>
      </c>
      <c r="R162" s="19">
        <f t="shared" ref="R162:R174" si="49">SUM(P162:Q162)</f>
        <v>14266.4</v>
      </c>
      <c r="S162" s="19">
        <v>14937.699999999999</v>
      </c>
      <c r="T162" s="19">
        <f>T163+T164+T165+T166+T167+T168</f>
        <v>46.199999999999996</v>
      </c>
      <c r="U162" s="19">
        <f>S162+T162</f>
        <v>14983.9</v>
      </c>
      <c r="V162" s="19">
        <v>14983.9</v>
      </c>
      <c r="W162" s="19">
        <f>SUM(W163+W164+W165+W166+W167+W168)</f>
        <v>203.6</v>
      </c>
      <c r="X162" s="18">
        <f t="shared" si="43"/>
        <v>15187.5</v>
      </c>
      <c r="Y162" s="9" t="s">
        <v>459</v>
      </c>
      <c r="Z162" s="4"/>
    </row>
    <row r="163" spans="1:26" ht="63" hidden="1" customHeight="1" outlineLevel="1" x14ac:dyDescent="0.25">
      <c r="A163" s="45"/>
      <c r="B163" s="38"/>
      <c r="C163" s="46"/>
      <c r="D163" s="14"/>
      <c r="E163" s="147" t="s">
        <v>260</v>
      </c>
      <c r="F163" s="139"/>
      <c r="G163" s="139"/>
      <c r="H163" s="139"/>
      <c r="I163" s="15">
        <v>2020199990</v>
      </c>
      <c r="J163" s="6" t="s">
        <v>41</v>
      </c>
      <c r="K163" s="6" t="s">
        <v>18</v>
      </c>
      <c r="L163" s="6" t="s">
        <v>13</v>
      </c>
      <c r="M163" s="19">
        <v>7900</v>
      </c>
      <c r="N163" s="19">
        <f>125.6</f>
        <v>125.6</v>
      </c>
      <c r="O163" s="19">
        <f t="shared" si="46"/>
        <v>8025.6</v>
      </c>
      <c r="P163" s="19">
        <v>8025.6</v>
      </c>
      <c r="Q163" s="19">
        <f>1044+117.1+455+745</f>
        <v>2361.1</v>
      </c>
      <c r="R163" s="19">
        <f t="shared" si="49"/>
        <v>10386.700000000001</v>
      </c>
      <c r="S163" s="19">
        <v>11058</v>
      </c>
      <c r="T163" s="19">
        <f>49.9-3.7</f>
        <v>46.199999999999996</v>
      </c>
      <c r="U163" s="19">
        <f>S163+T163</f>
        <v>11104.2</v>
      </c>
      <c r="V163" s="19">
        <v>11104.2</v>
      </c>
      <c r="W163" s="19"/>
      <c r="X163" s="18">
        <f t="shared" si="43"/>
        <v>11104.2</v>
      </c>
      <c r="Y163" s="9"/>
      <c r="Z163" s="4"/>
    </row>
    <row r="164" spans="1:26" ht="46.5" hidden="1" customHeight="1" outlineLevel="1" x14ac:dyDescent="0.25">
      <c r="A164" s="45"/>
      <c r="B164" s="38"/>
      <c r="C164" s="46"/>
      <c r="D164" s="14"/>
      <c r="E164" s="139" t="s">
        <v>362</v>
      </c>
      <c r="F164" s="139"/>
      <c r="G164" s="139"/>
      <c r="H164" s="139"/>
      <c r="I164" s="20" t="s">
        <v>344</v>
      </c>
      <c r="J164" s="11" t="s">
        <v>41</v>
      </c>
      <c r="K164" s="11" t="s">
        <v>18</v>
      </c>
      <c r="L164" s="11" t="s">
        <v>11</v>
      </c>
      <c r="M164" s="19">
        <v>2005.3</v>
      </c>
      <c r="N164" s="19"/>
      <c r="O164" s="19">
        <f t="shared" si="46"/>
        <v>2005.3</v>
      </c>
      <c r="P164" s="19">
        <v>2005.3</v>
      </c>
      <c r="Q164" s="19"/>
      <c r="R164" s="19">
        <f t="shared" si="49"/>
        <v>2005.3</v>
      </c>
      <c r="S164" s="19">
        <v>2005.3</v>
      </c>
      <c r="T164" s="19"/>
      <c r="U164" s="19">
        <f>S164+T164</f>
        <v>2005.3</v>
      </c>
      <c r="V164" s="19">
        <v>2005.3</v>
      </c>
      <c r="W164" s="19">
        <v>86.6</v>
      </c>
      <c r="X164" s="18">
        <f t="shared" si="43"/>
        <v>2091.9</v>
      </c>
      <c r="Y164" s="9"/>
      <c r="Z164" s="4"/>
    </row>
    <row r="165" spans="1:26" ht="105.75" hidden="1" customHeight="1" outlineLevel="1" x14ac:dyDescent="0.25">
      <c r="A165" s="45"/>
      <c r="B165" s="38"/>
      <c r="C165" s="46"/>
      <c r="D165" s="14"/>
      <c r="E165" s="147" t="s">
        <v>261</v>
      </c>
      <c r="F165" s="139"/>
      <c r="G165" s="139"/>
      <c r="H165" s="139"/>
      <c r="I165" s="15" t="s">
        <v>48</v>
      </c>
      <c r="J165" s="6" t="s">
        <v>41</v>
      </c>
      <c r="K165" s="6" t="s">
        <v>18</v>
      </c>
      <c r="L165" s="6" t="s">
        <v>26</v>
      </c>
      <c r="M165" s="19">
        <v>1600</v>
      </c>
      <c r="N165" s="19">
        <f>-125.6</f>
        <v>-125.6</v>
      </c>
      <c r="O165" s="19">
        <f t="shared" si="46"/>
        <v>1474.4</v>
      </c>
      <c r="P165" s="19">
        <v>1474.4</v>
      </c>
      <c r="Q165" s="19"/>
      <c r="R165" s="19">
        <f t="shared" si="49"/>
        <v>1474.4</v>
      </c>
      <c r="S165" s="19">
        <v>1474.4</v>
      </c>
      <c r="T165" s="19"/>
      <c r="U165" s="19">
        <f t="shared" ref="U165:U168" si="50">S165+T165</f>
        <v>1474.4</v>
      </c>
      <c r="V165" s="19">
        <v>1474.4</v>
      </c>
      <c r="W165" s="19">
        <v>117</v>
      </c>
      <c r="X165" s="18">
        <f t="shared" si="43"/>
        <v>1591.4</v>
      </c>
      <c r="Y165" s="9"/>
      <c r="Z165" s="4"/>
    </row>
    <row r="166" spans="1:26" ht="48.75" hidden="1" customHeight="1" outlineLevel="1" x14ac:dyDescent="0.25">
      <c r="A166" s="45"/>
      <c r="B166" s="38"/>
      <c r="C166" s="46"/>
      <c r="D166" s="14"/>
      <c r="E166" s="140" t="s">
        <v>290</v>
      </c>
      <c r="F166" s="141"/>
      <c r="G166" s="141"/>
      <c r="H166" s="142"/>
      <c r="I166" s="15"/>
      <c r="J166" s="6">
        <v>20</v>
      </c>
      <c r="K166" s="6">
        <v>2</v>
      </c>
      <c r="L166" s="11" t="s">
        <v>10</v>
      </c>
      <c r="M166" s="19">
        <v>0</v>
      </c>
      <c r="N166" s="19"/>
      <c r="O166" s="19">
        <f>SUM(M166:N166)</f>
        <v>0</v>
      </c>
      <c r="P166" s="19">
        <v>0</v>
      </c>
      <c r="Q166" s="19"/>
      <c r="R166" s="19">
        <f t="shared" si="49"/>
        <v>0</v>
      </c>
      <c r="S166" s="19">
        <v>0</v>
      </c>
      <c r="T166" s="19"/>
      <c r="U166" s="19">
        <f t="shared" si="50"/>
        <v>0</v>
      </c>
      <c r="V166" s="19">
        <v>0</v>
      </c>
      <c r="W166" s="19"/>
      <c r="X166" s="18">
        <f t="shared" si="43"/>
        <v>0</v>
      </c>
      <c r="Y166" s="9"/>
      <c r="Z166" s="4"/>
    </row>
    <row r="167" spans="1:26" ht="48.75" hidden="1" customHeight="1" outlineLevel="1" x14ac:dyDescent="0.25">
      <c r="A167" s="45"/>
      <c r="B167" s="38"/>
      <c r="C167" s="46"/>
      <c r="D167" s="14"/>
      <c r="E167" s="140" t="s">
        <v>372</v>
      </c>
      <c r="F167" s="141"/>
      <c r="G167" s="141"/>
      <c r="H167" s="142"/>
      <c r="I167" s="15"/>
      <c r="J167" s="6">
        <v>20</v>
      </c>
      <c r="K167" s="6">
        <v>2</v>
      </c>
      <c r="L167" s="11" t="s">
        <v>7</v>
      </c>
      <c r="M167" s="19">
        <v>400</v>
      </c>
      <c r="N167" s="19"/>
      <c r="O167" s="19">
        <f>SUM(M167:N167)</f>
        <v>400</v>
      </c>
      <c r="P167" s="19">
        <v>400</v>
      </c>
      <c r="Q167" s="19"/>
      <c r="R167" s="19">
        <f t="shared" si="49"/>
        <v>400</v>
      </c>
      <c r="S167" s="19">
        <v>400</v>
      </c>
      <c r="T167" s="19"/>
      <c r="U167" s="19">
        <f t="shared" si="50"/>
        <v>400</v>
      </c>
      <c r="V167" s="19">
        <v>400</v>
      </c>
      <c r="W167" s="19"/>
      <c r="X167" s="18">
        <f t="shared" si="43"/>
        <v>400</v>
      </c>
      <c r="Y167" s="9"/>
      <c r="Z167" s="4"/>
    </row>
    <row r="168" spans="1:26" ht="46.5" hidden="1" customHeight="1" outlineLevel="1" x14ac:dyDescent="0.25">
      <c r="A168" s="45"/>
      <c r="B168" s="38"/>
      <c r="C168" s="46"/>
      <c r="D168" s="14"/>
      <c r="E168" s="139" t="s">
        <v>377</v>
      </c>
      <c r="F168" s="139"/>
      <c r="G168" s="139"/>
      <c r="H168" s="139"/>
      <c r="I168" s="15" t="s">
        <v>47</v>
      </c>
      <c r="J168" s="6" t="s">
        <v>41</v>
      </c>
      <c r="K168" s="6" t="s">
        <v>18</v>
      </c>
      <c r="L168" s="6" t="s">
        <v>46</v>
      </c>
      <c r="M168" s="19">
        <v>0</v>
      </c>
      <c r="N168" s="19"/>
      <c r="O168" s="19">
        <f t="shared" si="46"/>
        <v>0</v>
      </c>
      <c r="P168" s="19">
        <v>0</v>
      </c>
      <c r="Q168" s="19"/>
      <c r="R168" s="19">
        <f t="shared" si="49"/>
        <v>0</v>
      </c>
      <c r="S168" s="19">
        <v>0</v>
      </c>
      <c r="T168" s="19"/>
      <c r="U168" s="19">
        <f t="shared" si="50"/>
        <v>0</v>
      </c>
      <c r="V168" s="19">
        <v>0</v>
      </c>
      <c r="W168" s="19"/>
      <c r="X168" s="110">
        <f t="shared" si="43"/>
        <v>0</v>
      </c>
      <c r="Y168" s="9"/>
      <c r="Z168" s="4"/>
    </row>
    <row r="169" spans="1:26" ht="90.75" customHeight="1" collapsed="1" x14ac:dyDescent="0.25">
      <c r="A169" s="45"/>
      <c r="B169" s="38"/>
      <c r="C169" s="46"/>
      <c r="D169" s="224" t="s">
        <v>262</v>
      </c>
      <c r="E169" s="139"/>
      <c r="F169" s="139"/>
      <c r="G169" s="139"/>
      <c r="H169" s="139"/>
      <c r="I169" s="15" t="s">
        <v>45</v>
      </c>
      <c r="J169" s="6" t="s">
        <v>41</v>
      </c>
      <c r="K169" s="6" t="s">
        <v>27</v>
      </c>
      <c r="L169" s="6" t="s">
        <v>4</v>
      </c>
      <c r="M169" s="19">
        <f>M170+M171+M172</f>
        <v>81265.3</v>
      </c>
      <c r="N169" s="19">
        <f>N170+N171+N172</f>
        <v>5008.2</v>
      </c>
      <c r="O169" s="19">
        <f>SUM(M169:N169)</f>
        <v>86273.5</v>
      </c>
      <c r="P169" s="19">
        <v>86273.5</v>
      </c>
      <c r="Q169" s="19">
        <f>Q170+Q171+Q172</f>
        <v>709.7</v>
      </c>
      <c r="R169" s="19">
        <f t="shared" si="49"/>
        <v>86983.2</v>
      </c>
      <c r="S169" s="19">
        <v>105085.9</v>
      </c>
      <c r="T169" s="19">
        <f>T170+T171+T172</f>
        <v>2731.9</v>
      </c>
      <c r="U169" s="19">
        <f>S169+T169</f>
        <v>107817.79999999999</v>
      </c>
      <c r="V169" s="19">
        <v>107817.79999999999</v>
      </c>
      <c r="W169" s="19">
        <v>7</v>
      </c>
      <c r="X169" s="18">
        <f t="shared" si="43"/>
        <v>107824.79999999999</v>
      </c>
      <c r="Y169" s="9" t="s">
        <v>475</v>
      </c>
      <c r="Z169" s="4"/>
    </row>
    <row r="170" spans="1:26" ht="73.5" hidden="1" customHeight="1" outlineLevel="1" x14ac:dyDescent="0.25">
      <c r="A170" s="45"/>
      <c r="B170" s="38"/>
      <c r="C170" s="46"/>
      <c r="D170" s="14"/>
      <c r="E170" s="139" t="s">
        <v>263</v>
      </c>
      <c r="F170" s="139"/>
      <c r="G170" s="139"/>
      <c r="H170" s="139"/>
      <c r="I170" s="15" t="s">
        <v>44</v>
      </c>
      <c r="J170" s="6" t="s">
        <v>41</v>
      </c>
      <c r="K170" s="6" t="s">
        <v>27</v>
      </c>
      <c r="L170" s="6" t="s">
        <v>13</v>
      </c>
      <c r="M170" s="19">
        <v>33097.300000000003</v>
      </c>
      <c r="N170" s="19">
        <f>5008.2</f>
        <v>5008.2</v>
      </c>
      <c r="O170" s="19">
        <f t="shared" si="46"/>
        <v>38105.5</v>
      </c>
      <c r="P170" s="19">
        <v>38105.5</v>
      </c>
      <c r="Q170" s="19"/>
      <c r="R170" s="19">
        <f t="shared" si="49"/>
        <v>38105.5</v>
      </c>
      <c r="S170" s="19">
        <v>55527.199999999997</v>
      </c>
      <c r="T170" s="19"/>
      <c r="U170" s="19">
        <f>S170+T170</f>
        <v>55527.199999999997</v>
      </c>
      <c r="V170" s="19">
        <v>55527.199999999997</v>
      </c>
      <c r="W170" s="19"/>
      <c r="X170" s="18">
        <f t="shared" si="43"/>
        <v>55527.199999999997</v>
      </c>
      <c r="Y170" s="9"/>
      <c r="Z170" s="4" t="s">
        <v>297</v>
      </c>
    </row>
    <row r="171" spans="1:26" ht="65.25" hidden="1" customHeight="1" outlineLevel="1" x14ac:dyDescent="0.25">
      <c r="A171" s="45"/>
      <c r="B171" s="38"/>
      <c r="C171" s="46"/>
      <c r="D171" s="14"/>
      <c r="E171" s="139" t="s">
        <v>264</v>
      </c>
      <c r="F171" s="139"/>
      <c r="G171" s="139"/>
      <c r="H171" s="139"/>
      <c r="I171" s="15" t="s">
        <v>43</v>
      </c>
      <c r="J171" s="6" t="s">
        <v>41</v>
      </c>
      <c r="K171" s="6" t="s">
        <v>27</v>
      </c>
      <c r="L171" s="6" t="s">
        <v>11</v>
      </c>
      <c r="M171" s="19">
        <v>45068</v>
      </c>
      <c r="N171" s="19"/>
      <c r="O171" s="19">
        <f t="shared" si="46"/>
        <v>45068</v>
      </c>
      <c r="P171" s="19">
        <v>45068</v>
      </c>
      <c r="Q171" s="19">
        <f>-586.2+200+1095.9</f>
        <v>709.7</v>
      </c>
      <c r="R171" s="19">
        <f t="shared" si="49"/>
        <v>45777.7</v>
      </c>
      <c r="S171" s="19">
        <v>46458.7</v>
      </c>
      <c r="T171" s="19">
        <f>1510.9+1221</f>
        <v>2731.9</v>
      </c>
      <c r="U171" s="19">
        <f t="shared" ref="U171:U172" si="51">S171+T171</f>
        <v>49190.6</v>
      </c>
      <c r="V171" s="19">
        <v>49190.6</v>
      </c>
      <c r="W171" s="19"/>
      <c r="X171" s="18">
        <f t="shared" si="43"/>
        <v>49190.6</v>
      </c>
      <c r="Y171" s="9"/>
      <c r="Z171" s="4"/>
    </row>
    <row r="172" spans="1:26" ht="43.5" hidden="1" customHeight="1" outlineLevel="1" x14ac:dyDescent="0.25">
      <c r="A172" s="45"/>
      <c r="B172" s="38"/>
      <c r="C172" s="46"/>
      <c r="D172" s="14"/>
      <c r="E172" s="139" t="s">
        <v>265</v>
      </c>
      <c r="F172" s="139"/>
      <c r="G172" s="139"/>
      <c r="H172" s="139"/>
      <c r="I172" s="15" t="s">
        <v>42</v>
      </c>
      <c r="J172" s="6" t="s">
        <v>41</v>
      </c>
      <c r="K172" s="6" t="s">
        <v>27</v>
      </c>
      <c r="L172" s="6" t="s">
        <v>26</v>
      </c>
      <c r="M172" s="19">
        <v>3100</v>
      </c>
      <c r="N172" s="19"/>
      <c r="O172" s="19">
        <f t="shared" si="46"/>
        <v>3100</v>
      </c>
      <c r="P172" s="19">
        <v>3100</v>
      </c>
      <c r="Q172" s="19"/>
      <c r="R172" s="19">
        <f t="shared" si="49"/>
        <v>3100</v>
      </c>
      <c r="S172" s="19">
        <v>3100</v>
      </c>
      <c r="T172" s="19"/>
      <c r="U172" s="19">
        <f t="shared" si="51"/>
        <v>3100</v>
      </c>
      <c r="V172" s="19">
        <v>3100</v>
      </c>
      <c r="W172" s="19"/>
      <c r="X172" s="18">
        <f t="shared" si="43"/>
        <v>3100</v>
      </c>
      <c r="Y172" s="9"/>
      <c r="Z172" s="4"/>
    </row>
    <row r="173" spans="1:26" ht="42" customHeight="1" collapsed="1" x14ac:dyDescent="0.25">
      <c r="A173" s="45"/>
      <c r="B173" s="38"/>
      <c r="C173" s="46"/>
      <c r="D173" s="217" t="s">
        <v>266</v>
      </c>
      <c r="E173" s="139"/>
      <c r="F173" s="139"/>
      <c r="G173" s="139"/>
      <c r="H173" s="139"/>
      <c r="I173" s="15" t="s">
        <v>39</v>
      </c>
      <c r="J173" s="6" t="s">
        <v>41</v>
      </c>
      <c r="K173" s="6" t="s">
        <v>40</v>
      </c>
      <c r="L173" s="6" t="s">
        <v>4</v>
      </c>
      <c r="M173" s="19">
        <f>M174</f>
        <v>15000</v>
      </c>
      <c r="N173" s="19">
        <f>N174</f>
        <v>0</v>
      </c>
      <c r="O173" s="19">
        <f>SUM(M173:N173)</f>
        <v>15000</v>
      </c>
      <c r="P173" s="19">
        <v>15000</v>
      </c>
      <c r="Q173" s="19">
        <f>Q174</f>
        <v>0</v>
      </c>
      <c r="R173" s="19">
        <f t="shared" si="49"/>
        <v>15000</v>
      </c>
      <c r="S173" s="19">
        <v>19555.400000000001</v>
      </c>
      <c r="T173" s="19">
        <f>T174</f>
        <v>0</v>
      </c>
      <c r="U173" s="19">
        <f>S173+T173</f>
        <v>19555.400000000001</v>
      </c>
      <c r="V173" s="19">
        <v>19555.400000000001</v>
      </c>
      <c r="W173" s="19">
        <f>W174</f>
        <v>0</v>
      </c>
      <c r="X173" s="18">
        <f t="shared" si="43"/>
        <v>19555.400000000001</v>
      </c>
      <c r="Y173" s="9"/>
      <c r="Z173" s="4"/>
    </row>
    <row r="174" spans="1:26" ht="98.25" hidden="1" customHeight="1" outlineLevel="1" x14ac:dyDescent="0.25">
      <c r="A174" s="45"/>
      <c r="B174" s="38"/>
      <c r="C174" s="46"/>
      <c r="D174" s="14"/>
      <c r="E174" s="147" t="s">
        <v>267</v>
      </c>
      <c r="F174" s="139"/>
      <c r="G174" s="139"/>
      <c r="H174" s="139"/>
      <c r="I174" s="15" t="s">
        <v>39</v>
      </c>
      <c r="J174" s="6" t="s">
        <v>41</v>
      </c>
      <c r="K174" s="6" t="s">
        <v>40</v>
      </c>
      <c r="L174" s="6" t="s">
        <v>13</v>
      </c>
      <c r="M174" s="19">
        <v>15000</v>
      </c>
      <c r="N174" s="19"/>
      <c r="O174" s="19">
        <f t="shared" si="46"/>
        <v>15000</v>
      </c>
      <c r="P174" s="19">
        <v>15000</v>
      </c>
      <c r="Q174" s="19"/>
      <c r="R174" s="19">
        <f t="shared" si="49"/>
        <v>15000</v>
      </c>
      <c r="S174" s="19">
        <v>19555.400000000001</v>
      </c>
      <c r="T174" s="19"/>
      <c r="U174" s="19">
        <f>S174+T174</f>
        <v>19555.400000000001</v>
      </c>
      <c r="V174" s="19">
        <v>19555.400000000001</v>
      </c>
      <c r="W174" s="19"/>
      <c r="X174" s="110">
        <f t="shared" si="43"/>
        <v>19555.400000000001</v>
      </c>
      <c r="Y174" s="9"/>
      <c r="Z174" s="4"/>
    </row>
    <row r="175" spans="1:26" ht="45.75" customHeight="1" collapsed="1" x14ac:dyDescent="0.25">
      <c r="A175" s="45"/>
      <c r="B175" s="4"/>
      <c r="C175" s="47"/>
      <c r="D175" s="218" t="s">
        <v>335</v>
      </c>
      <c r="E175" s="219"/>
      <c r="F175" s="219"/>
      <c r="G175" s="219"/>
      <c r="H175" s="220"/>
      <c r="I175" s="119" t="s">
        <v>38</v>
      </c>
      <c r="J175" s="120" t="s">
        <v>37</v>
      </c>
      <c r="K175" s="120" t="s">
        <v>4</v>
      </c>
      <c r="L175" s="120" t="s">
        <v>4</v>
      </c>
      <c r="M175" s="108">
        <f>M176</f>
        <v>3128.1</v>
      </c>
      <c r="N175" s="108">
        <f>N176</f>
        <v>0</v>
      </c>
      <c r="O175" s="108">
        <f>O176</f>
        <v>3128.1</v>
      </c>
      <c r="P175" s="108">
        <v>3128.1</v>
      </c>
      <c r="Q175" s="108">
        <f>Q176</f>
        <v>-100</v>
      </c>
      <c r="R175" s="108">
        <f>R176</f>
        <v>3028.1</v>
      </c>
      <c r="S175" s="108">
        <v>6143.9</v>
      </c>
      <c r="T175" s="108">
        <f>SUM(T176)</f>
        <v>-402</v>
      </c>
      <c r="U175" s="108">
        <f>SUM(S175:T175)</f>
        <v>5741.9</v>
      </c>
      <c r="V175" s="108">
        <v>5741.9</v>
      </c>
      <c r="W175" s="108"/>
      <c r="X175" s="110">
        <f t="shared" si="43"/>
        <v>5741.9</v>
      </c>
      <c r="Y175" s="9"/>
      <c r="Z175" s="4"/>
    </row>
    <row r="176" spans="1:26" ht="74.25" hidden="1" customHeight="1" outlineLevel="1" x14ac:dyDescent="0.25">
      <c r="A176" s="45"/>
      <c r="B176" s="38"/>
      <c r="C176" s="46"/>
      <c r="D176" s="14"/>
      <c r="E176" s="147" t="s">
        <v>268</v>
      </c>
      <c r="F176" s="139"/>
      <c r="G176" s="139"/>
      <c r="H176" s="139"/>
      <c r="I176" s="15" t="s">
        <v>38</v>
      </c>
      <c r="J176" s="6" t="s">
        <v>37</v>
      </c>
      <c r="K176" s="6" t="s">
        <v>2</v>
      </c>
      <c r="L176" s="6" t="s">
        <v>13</v>
      </c>
      <c r="M176" s="19">
        <v>3128.1</v>
      </c>
      <c r="N176" s="19"/>
      <c r="O176" s="19">
        <f t="shared" si="46"/>
        <v>3128.1</v>
      </c>
      <c r="P176" s="19">
        <v>3128.1</v>
      </c>
      <c r="Q176" s="19">
        <v>-100</v>
      </c>
      <c r="R176" s="19">
        <f>SUM(P176:Q176)</f>
        <v>3028.1</v>
      </c>
      <c r="S176" s="19">
        <v>6143.9</v>
      </c>
      <c r="T176" s="19">
        <v>-402</v>
      </c>
      <c r="U176" s="108">
        <f t="shared" ref="U176:U177" si="52">SUM(S176:T176)</f>
        <v>5741.9</v>
      </c>
      <c r="V176" s="19">
        <v>5741.9</v>
      </c>
      <c r="W176" s="108"/>
      <c r="X176" s="18">
        <f t="shared" si="43"/>
        <v>5741.9</v>
      </c>
      <c r="Y176" s="9"/>
      <c r="Z176" s="4"/>
    </row>
    <row r="177" spans="1:27" ht="90.75" customHeight="1" collapsed="1" x14ac:dyDescent="0.25">
      <c r="A177" s="45"/>
      <c r="B177" s="4"/>
      <c r="C177" s="47"/>
      <c r="D177" s="218" t="s">
        <v>179</v>
      </c>
      <c r="E177" s="219"/>
      <c r="F177" s="219"/>
      <c r="G177" s="219"/>
      <c r="H177" s="220"/>
      <c r="I177" s="119" t="s">
        <v>36</v>
      </c>
      <c r="J177" s="120" t="s">
        <v>28</v>
      </c>
      <c r="K177" s="120" t="s">
        <v>4</v>
      </c>
      <c r="L177" s="120" t="s">
        <v>4</v>
      </c>
      <c r="M177" s="108">
        <f t="shared" ref="M177:R177" si="53">SUM(M178+M182+M184)</f>
        <v>515555.1</v>
      </c>
      <c r="N177" s="108">
        <f t="shared" si="53"/>
        <v>1060</v>
      </c>
      <c r="O177" s="108">
        <f t="shared" si="53"/>
        <v>516615.1</v>
      </c>
      <c r="P177" s="108">
        <f t="shared" si="53"/>
        <v>516465.1</v>
      </c>
      <c r="Q177" s="108">
        <f t="shared" si="53"/>
        <v>5115.9999999999991</v>
      </c>
      <c r="R177" s="108">
        <f t="shared" si="53"/>
        <v>521581.10000000003</v>
      </c>
      <c r="S177" s="108">
        <v>527275.4</v>
      </c>
      <c r="T177" s="108">
        <f>SUM(T178+T182+T184)</f>
        <v>34136.600000000006</v>
      </c>
      <c r="U177" s="108">
        <f t="shared" si="52"/>
        <v>561412</v>
      </c>
      <c r="V177" s="108">
        <v>561412</v>
      </c>
      <c r="W177" s="108">
        <f>W178+W182+W184</f>
        <v>1087.9000000000001</v>
      </c>
      <c r="X177" s="110">
        <f t="shared" si="43"/>
        <v>562499.9</v>
      </c>
      <c r="Y177" s="129"/>
      <c r="Z177" s="4"/>
    </row>
    <row r="178" spans="1:27" ht="155.4" customHeight="1" x14ac:dyDescent="0.25">
      <c r="A178" s="45"/>
      <c r="B178" s="38"/>
      <c r="C178" s="46"/>
      <c r="D178" s="217" t="s">
        <v>269</v>
      </c>
      <c r="E178" s="139"/>
      <c r="F178" s="139"/>
      <c r="G178" s="139"/>
      <c r="H178" s="139"/>
      <c r="I178" s="15" t="s">
        <v>35</v>
      </c>
      <c r="J178" s="6" t="s">
        <v>28</v>
      </c>
      <c r="K178" s="6" t="s">
        <v>23</v>
      </c>
      <c r="L178" s="6" t="s">
        <v>4</v>
      </c>
      <c r="M178" s="19">
        <f>M179+M180+M181</f>
        <v>340958.2</v>
      </c>
      <c r="N178" s="19">
        <f>N179+N180+N181</f>
        <v>0</v>
      </c>
      <c r="O178" s="19">
        <f>SUM(M178:N178)</f>
        <v>340958.2</v>
      </c>
      <c r="P178" s="19">
        <f>P179+P180+P181</f>
        <v>340808.2</v>
      </c>
      <c r="Q178" s="19">
        <f>Q179+Q180+Q181</f>
        <v>-479.6</v>
      </c>
      <c r="R178" s="19">
        <f t="shared" ref="R178:R183" si="54">SUM(P178:Q178)</f>
        <v>340328.60000000003</v>
      </c>
      <c r="S178" s="19">
        <v>345655.60000000003</v>
      </c>
      <c r="T178" s="19">
        <f>SUM(T179+T180+T181)</f>
        <v>21571.4</v>
      </c>
      <c r="U178" s="19">
        <f>SUM(S178:T178)</f>
        <v>367227.00000000006</v>
      </c>
      <c r="V178" s="19">
        <v>367227.00000000006</v>
      </c>
      <c r="W178" s="19">
        <f>W179+W180+W181</f>
        <v>1873.9</v>
      </c>
      <c r="X178" s="18">
        <f t="shared" si="43"/>
        <v>369100.90000000008</v>
      </c>
      <c r="Y178" s="129" t="s">
        <v>483</v>
      </c>
      <c r="Z178" s="4"/>
      <c r="AA178" s="129" t="s">
        <v>386</v>
      </c>
    </row>
    <row r="179" spans="1:27" ht="99.75" hidden="1" customHeight="1" outlineLevel="1" x14ac:dyDescent="0.25">
      <c r="A179" s="45"/>
      <c r="B179" s="38"/>
      <c r="C179" s="46"/>
      <c r="D179" s="14"/>
      <c r="E179" s="147" t="s">
        <v>270</v>
      </c>
      <c r="F179" s="139"/>
      <c r="G179" s="139"/>
      <c r="H179" s="139"/>
      <c r="I179" s="15" t="s">
        <v>34</v>
      </c>
      <c r="J179" s="6" t="s">
        <v>28</v>
      </c>
      <c r="K179" s="6" t="s">
        <v>23</v>
      </c>
      <c r="L179" s="6" t="s">
        <v>13</v>
      </c>
      <c r="M179" s="19">
        <v>238572.2</v>
      </c>
      <c r="N179" s="19"/>
      <c r="O179" s="19">
        <f t="shared" ref="O179:O187" si="55">SUM(M179:N179)</f>
        <v>238572.2</v>
      </c>
      <c r="P179" s="19">
        <f>238572.2-150</f>
        <v>238422.2</v>
      </c>
      <c r="Q179" s="19">
        <f>-209.6-270</f>
        <v>-479.6</v>
      </c>
      <c r="R179" s="19">
        <f t="shared" si="54"/>
        <v>237942.6</v>
      </c>
      <c r="S179" s="19">
        <v>236930.1</v>
      </c>
      <c r="T179" s="19">
        <f>1020-920+18058.5+428+49.9-428</f>
        <v>18208.400000000001</v>
      </c>
      <c r="U179" s="19">
        <f t="shared" ref="U179:U187" si="56">SUM(S179:T179)</f>
        <v>255138.5</v>
      </c>
      <c r="V179" s="19">
        <v>255138.5</v>
      </c>
      <c r="W179" s="19">
        <f>117.3+118.8+380+1257.8</f>
        <v>1873.9</v>
      </c>
      <c r="X179" s="18">
        <f t="shared" si="43"/>
        <v>257012.4</v>
      </c>
      <c r="Y179" s="30" t="s">
        <v>477</v>
      </c>
      <c r="Z179" s="4"/>
    </row>
    <row r="180" spans="1:27" ht="39" hidden="1" customHeight="1" outlineLevel="1" x14ac:dyDescent="0.25">
      <c r="A180" s="45"/>
      <c r="B180" s="38"/>
      <c r="C180" s="46"/>
      <c r="D180" s="14"/>
      <c r="E180" s="147" t="s">
        <v>271</v>
      </c>
      <c r="F180" s="139"/>
      <c r="G180" s="139"/>
      <c r="H180" s="139"/>
      <c r="I180" s="15" t="s">
        <v>33</v>
      </c>
      <c r="J180" s="6" t="s">
        <v>28</v>
      </c>
      <c r="K180" s="6" t="s">
        <v>23</v>
      </c>
      <c r="L180" s="6" t="s">
        <v>11</v>
      </c>
      <c r="M180" s="19">
        <v>95886</v>
      </c>
      <c r="N180" s="19"/>
      <c r="O180" s="19">
        <f t="shared" si="55"/>
        <v>95886</v>
      </c>
      <c r="P180" s="19">
        <v>95886</v>
      </c>
      <c r="Q180" s="19"/>
      <c r="R180" s="19">
        <f t="shared" si="54"/>
        <v>95886</v>
      </c>
      <c r="S180" s="19">
        <v>97108.2</v>
      </c>
      <c r="T180" s="19">
        <v>3363</v>
      </c>
      <c r="U180" s="19">
        <f t="shared" si="56"/>
        <v>100471.2</v>
      </c>
      <c r="V180" s="19">
        <v>100471.2</v>
      </c>
      <c r="W180" s="19"/>
      <c r="X180" s="18">
        <f t="shared" si="43"/>
        <v>100471.2</v>
      </c>
      <c r="Y180" s="31"/>
      <c r="Z180" s="4"/>
    </row>
    <row r="181" spans="1:27" ht="74.25" hidden="1" customHeight="1" outlineLevel="1" x14ac:dyDescent="0.25">
      <c r="A181" s="45"/>
      <c r="B181" s="38"/>
      <c r="C181" s="46"/>
      <c r="D181" s="14"/>
      <c r="E181" s="139" t="s">
        <v>373</v>
      </c>
      <c r="F181" s="139"/>
      <c r="G181" s="139"/>
      <c r="H181" s="139"/>
      <c r="I181" s="15" t="s">
        <v>33</v>
      </c>
      <c r="J181" s="6" t="s">
        <v>28</v>
      </c>
      <c r="K181" s="6" t="s">
        <v>23</v>
      </c>
      <c r="L181" s="11" t="s">
        <v>10</v>
      </c>
      <c r="M181" s="19">
        <v>6500</v>
      </c>
      <c r="N181" s="19"/>
      <c r="O181" s="19">
        <f>SUM(M181:N181)</f>
        <v>6500</v>
      </c>
      <c r="P181" s="19">
        <v>6500</v>
      </c>
      <c r="Q181" s="19"/>
      <c r="R181" s="19">
        <f t="shared" si="54"/>
        <v>6500</v>
      </c>
      <c r="S181" s="19">
        <v>11617.3</v>
      </c>
      <c r="T181" s="19"/>
      <c r="U181" s="19">
        <f t="shared" si="56"/>
        <v>11617.3</v>
      </c>
      <c r="V181" s="19">
        <v>11617.3</v>
      </c>
      <c r="W181" s="19"/>
      <c r="X181" s="18">
        <f t="shared" si="43"/>
        <v>11617.3</v>
      </c>
      <c r="Y181" s="31"/>
      <c r="Z181" s="4"/>
    </row>
    <row r="182" spans="1:27" ht="35.4" customHeight="1" collapsed="1" x14ac:dyDescent="0.25">
      <c r="A182" s="45"/>
      <c r="B182" s="38"/>
      <c r="C182" s="46"/>
      <c r="D182" s="217" t="s">
        <v>272</v>
      </c>
      <c r="E182" s="139"/>
      <c r="F182" s="139"/>
      <c r="G182" s="139"/>
      <c r="H182" s="139"/>
      <c r="I182" s="15" t="s">
        <v>32</v>
      </c>
      <c r="J182" s="6" t="s">
        <v>28</v>
      </c>
      <c r="K182" s="6" t="s">
        <v>18</v>
      </c>
      <c r="L182" s="6" t="s">
        <v>4</v>
      </c>
      <c r="M182" s="19">
        <f>M183</f>
        <v>0</v>
      </c>
      <c r="N182" s="19">
        <f>N183</f>
        <v>0</v>
      </c>
      <c r="O182" s="19">
        <f>SUM(M182:N182)</f>
        <v>0</v>
      </c>
      <c r="P182" s="19">
        <v>0</v>
      </c>
      <c r="Q182" s="19">
        <f>Q183</f>
        <v>0</v>
      </c>
      <c r="R182" s="19">
        <f t="shared" si="54"/>
        <v>0</v>
      </c>
      <c r="S182" s="19">
        <v>0</v>
      </c>
      <c r="T182" s="19">
        <f>SUM(T183)</f>
        <v>0</v>
      </c>
      <c r="U182" s="19">
        <f t="shared" si="56"/>
        <v>0</v>
      </c>
      <c r="V182" s="19">
        <v>0</v>
      </c>
      <c r="W182" s="19"/>
      <c r="X182" s="18">
        <f t="shared" si="43"/>
        <v>0</v>
      </c>
      <c r="Y182" s="24"/>
      <c r="Z182" s="4"/>
    </row>
    <row r="183" spans="1:27" ht="46.5" hidden="1" customHeight="1" outlineLevel="1" x14ac:dyDescent="0.25">
      <c r="A183" s="45"/>
      <c r="B183" s="38"/>
      <c r="C183" s="46"/>
      <c r="D183" s="14"/>
      <c r="E183" s="147" t="s">
        <v>273</v>
      </c>
      <c r="F183" s="139"/>
      <c r="G183" s="139"/>
      <c r="H183" s="139"/>
      <c r="I183" s="15" t="s">
        <v>32</v>
      </c>
      <c r="J183" s="6" t="s">
        <v>28</v>
      </c>
      <c r="K183" s="6" t="s">
        <v>18</v>
      </c>
      <c r="L183" s="6" t="s">
        <v>13</v>
      </c>
      <c r="M183" s="19">
        <v>0</v>
      </c>
      <c r="N183" s="19"/>
      <c r="O183" s="19">
        <f t="shared" si="55"/>
        <v>0</v>
      </c>
      <c r="P183" s="19">
        <v>0</v>
      </c>
      <c r="Q183" s="19"/>
      <c r="R183" s="19">
        <f t="shared" si="54"/>
        <v>0</v>
      </c>
      <c r="S183" s="19">
        <v>0</v>
      </c>
      <c r="T183" s="19"/>
      <c r="U183" s="19">
        <f t="shared" si="56"/>
        <v>0</v>
      </c>
      <c r="V183" s="19">
        <v>0</v>
      </c>
      <c r="W183" s="19"/>
      <c r="X183" s="18">
        <f t="shared" si="43"/>
        <v>0</v>
      </c>
      <c r="Y183" s="24"/>
      <c r="Z183" s="4"/>
    </row>
    <row r="184" spans="1:27" ht="87.6" customHeight="1" collapsed="1" x14ac:dyDescent="0.25">
      <c r="A184" s="45"/>
      <c r="B184" s="38"/>
      <c r="C184" s="46"/>
      <c r="D184" s="217" t="s">
        <v>274</v>
      </c>
      <c r="E184" s="139"/>
      <c r="F184" s="139"/>
      <c r="G184" s="139"/>
      <c r="H184" s="139"/>
      <c r="I184" s="15" t="s">
        <v>31</v>
      </c>
      <c r="J184" s="6" t="s">
        <v>28</v>
      </c>
      <c r="K184" s="6" t="s">
        <v>27</v>
      </c>
      <c r="L184" s="6" t="s">
        <v>4</v>
      </c>
      <c r="M184" s="19">
        <f>SUM(M185:M187)</f>
        <v>174596.9</v>
      </c>
      <c r="N184" s="19">
        <f>SUM(N185:N187)</f>
        <v>1060</v>
      </c>
      <c r="O184" s="19">
        <f>SUM(O185:O187)</f>
        <v>175656.9</v>
      </c>
      <c r="P184" s="19">
        <v>175656.9</v>
      </c>
      <c r="Q184" s="19">
        <f>SUM(Q185:Q187)</f>
        <v>5595.5999999999995</v>
      </c>
      <c r="R184" s="19">
        <f>SUM(R185:R187)</f>
        <v>181252.5</v>
      </c>
      <c r="S184" s="19">
        <v>181619.8</v>
      </c>
      <c r="T184" s="19">
        <f>SUM(T185+T186+T187)</f>
        <v>12565.2</v>
      </c>
      <c r="U184" s="19">
        <f t="shared" si="56"/>
        <v>194185</v>
      </c>
      <c r="V184" s="19">
        <v>194185</v>
      </c>
      <c r="W184" s="19">
        <f>W185+W186+W187</f>
        <v>-786</v>
      </c>
      <c r="X184" s="18">
        <f t="shared" si="43"/>
        <v>193399</v>
      </c>
      <c r="Y184" s="9" t="s">
        <v>484</v>
      </c>
      <c r="Z184" s="4"/>
    </row>
    <row r="185" spans="1:27" ht="98.25" hidden="1" customHeight="1" outlineLevel="1" x14ac:dyDescent="0.25">
      <c r="A185" s="45"/>
      <c r="B185" s="38"/>
      <c r="C185" s="46"/>
      <c r="D185" s="14"/>
      <c r="E185" s="147" t="s">
        <v>275</v>
      </c>
      <c r="F185" s="139"/>
      <c r="G185" s="139"/>
      <c r="H185" s="139"/>
      <c r="I185" s="15" t="s">
        <v>30</v>
      </c>
      <c r="J185" s="6" t="s">
        <v>28</v>
      </c>
      <c r="K185" s="6" t="s">
        <v>27</v>
      </c>
      <c r="L185" s="6" t="s">
        <v>13</v>
      </c>
      <c r="M185" s="19">
        <v>120165</v>
      </c>
      <c r="N185" s="19">
        <v>360</v>
      </c>
      <c r="O185" s="19">
        <f t="shared" si="55"/>
        <v>120525</v>
      </c>
      <c r="P185" s="19">
        <v>120525</v>
      </c>
      <c r="Q185" s="19">
        <f>586.2+2467</f>
        <v>3053.2</v>
      </c>
      <c r="R185" s="19">
        <f>SUM(P185:Q185)</f>
        <v>123578.2</v>
      </c>
      <c r="S185" s="19">
        <v>123532.9</v>
      </c>
      <c r="T185" s="19">
        <f>2729.1+4369.1</f>
        <v>7098.2000000000007</v>
      </c>
      <c r="U185" s="19">
        <f t="shared" si="56"/>
        <v>130631.09999999999</v>
      </c>
      <c r="V185" s="19">
        <v>130631.09999999999</v>
      </c>
      <c r="W185" s="19">
        <f>374-1160</f>
        <v>-786</v>
      </c>
      <c r="X185" s="18">
        <f t="shared" si="43"/>
        <v>129845.09999999999</v>
      </c>
      <c r="Y185" s="9" t="s">
        <v>478</v>
      </c>
      <c r="Z185" s="4"/>
    </row>
    <row r="186" spans="1:27" ht="93.75" hidden="1" customHeight="1" outlineLevel="1" x14ac:dyDescent="0.25">
      <c r="A186" s="45"/>
      <c r="B186" s="38"/>
      <c r="C186" s="46"/>
      <c r="D186" s="14"/>
      <c r="E186" s="147" t="s">
        <v>276</v>
      </c>
      <c r="F186" s="139"/>
      <c r="G186" s="139"/>
      <c r="H186" s="139"/>
      <c r="I186" s="15" t="s">
        <v>29</v>
      </c>
      <c r="J186" s="6" t="s">
        <v>28</v>
      </c>
      <c r="K186" s="6" t="s">
        <v>27</v>
      </c>
      <c r="L186" s="6" t="s">
        <v>11</v>
      </c>
      <c r="M186" s="19">
        <v>54431.9</v>
      </c>
      <c r="N186" s="19">
        <v>700</v>
      </c>
      <c r="O186" s="19">
        <f t="shared" si="55"/>
        <v>55131.9</v>
      </c>
      <c r="P186" s="19">
        <v>55131.9</v>
      </c>
      <c r="Q186" s="19">
        <f>485+1916.2+91.2+50</f>
        <v>2542.3999999999996</v>
      </c>
      <c r="R186" s="19">
        <f>SUM(P186:Q186)</f>
        <v>57674.3</v>
      </c>
      <c r="S186" s="19">
        <v>58086.9</v>
      </c>
      <c r="T186" s="19">
        <f>1978.3-64.9+3553.6</f>
        <v>5467</v>
      </c>
      <c r="U186" s="19">
        <f t="shared" si="56"/>
        <v>63553.9</v>
      </c>
      <c r="V186" s="19">
        <v>63553.9</v>
      </c>
      <c r="W186" s="19"/>
      <c r="X186" s="18">
        <f t="shared" si="43"/>
        <v>63553.9</v>
      </c>
      <c r="Y186" s="9"/>
      <c r="Z186" s="4"/>
    </row>
    <row r="187" spans="1:27" ht="56.25" hidden="1" customHeight="1" outlineLevel="1" x14ac:dyDescent="0.25">
      <c r="A187" s="45"/>
      <c r="B187" s="38"/>
      <c r="C187" s="46"/>
      <c r="D187" s="14"/>
      <c r="E187" s="147" t="s">
        <v>277</v>
      </c>
      <c r="F187" s="139"/>
      <c r="G187" s="139"/>
      <c r="H187" s="139"/>
      <c r="I187" s="15" t="s">
        <v>25</v>
      </c>
      <c r="J187" s="6" t="s">
        <v>28</v>
      </c>
      <c r="K187" s="6" t="s">
        <v>27</v>
      </c>
      <c r="L187" s="6" t="s">
        <v>26</v>
      </c>
      <c r="M187" s="19">
        <v>0</v>
      </c>
      <c r="N187" s="19"/>
      <c r="O187" s="19">
        <f t="shared" si="55"/>
        <v>0</v>
      </c>
      <c r="P187" s="19">
        <v>0</v>
      </c>
      <c r="Q187" s="19"/>
      <c r="R187" s="19">
        <f>SUM(P187:Q187)</f>
        <v>0</v>
      </c>
      <c r="S187" s="19">
        <v>0</v>
      </c>
      <c r="T187" s="19"/>
      <c r="U187" s="19">
        <f t="shared" si="56"/>
        <v>0</v>
      </c>
      <c r="V187" s="19">
        <v>0</v>
      </c>
      <c r="W187" s="19"/>
      <c r="X187" s="18">
        <f t="shared" si="43"/>
        <v>0</v>
      </c>
      <c r="Y187" s="9"/>
      <c r="Z187" s="4"/>
    </row>
    <row r="188" spans="1:27" ht="37.200000000000003" customHeight="1" collapsed="1" x14ac:dyDescent="0.25">
      <c r="A188" s="45"/>
      <c r="B188" s="4"/>
      <c r="C188" s="47"/>
      <c r="D188" s="218" t="s">
        <v>317</v>
      </c>
      <c r="E188" s="219"/>
      <c r="F188" s="219"/>
      <c r="G188" s="219"/>
      <c r="H188" s="220"/>
      <c r="I188" s="119" t="s">
        <v>24</v>
      </c>
      <c r="J188" s="120" t="s">
        <v>19</v>
      </c>
      <c r="K188" s="120" t="s">
        <v>4</v>
      </c>
      <c r="L188" s="120" t="s">
        <v>4</v>
      </c>
      <c r="M188" s="108">
        <f>M189+M197</f>
        <v>115913.4</v>
      </c>
      <c r="N188" s="108">
        <f>N189+N197</f>
        <v>15000</v>
      </c>
      <c r="O188" s="108">
        <f>O189+O197</f>
        <v>130913.4</v>
      </c>
      <c r="P188" s="108">
        <v>130913.4</v>
      </c>
      <c r="Q188" s="108">
        <f>Q189+Q197</f>
        <v>6809.4</v>
      </c>
      <c r="R188" s="108">
        <f>R189+R197</f>
        <v>137722.79999999999</v>
      </c>
      <c r="S188" s="108">
        <v>198192.5</v>
      </c>
      <c r="T188" s="108">
        <f>SUM(T189+T197)</f>
        <v>-3962.1</v>
      </c>
      <c r="U188" s="108">
        <f>SUM(S188:T188)</f>
        <v>194230.39999999999</v>
      </c>
      <c r="V188" s="108">
        <v>194230.39999999999</v>
      </c>
      <c r="W188" s="108"/>
      <c r="X188" s="110">
        <f t="shared" si="43"/>
        <v>194230.39999999999</v>
      </c>
      <c r="Y188" s="121"/>
      <c r="Z188" s="4"/>
    </row>
    <row r="189" spans="1:27" ht="42.75" customHeight="1" x14ac:dyDescent="0.25">
      <c r="A189" s="45"/>
      <c r="B189" s="38"/>
      <c r="C189" s="46"/>
      <c r="D189" s="217" t="s">
        <v>278</v>
      </c>
      <c r="E189" s="139"/>
      <c r="F189" s="139"/>
      <c r="G189" s="139"/>
      <c r="H189" s="139"/>
      <c r="I189" s="15" t="s">
        <v>22</v>
      </c>
      <c r="J189" s="6" t="s">
        <v>19</v>
      </c>
      <c r="K189" s="6" t="s">
        <v>23</v>
      </c>
      <c r="L189" s="6" t="s">
        <v>4</v>
      </c>
      <c r="M189" s="19">
        <f>M194+M190</f>
        <v>0</v>
      </c>
      <c r="N189" s="19">
        <f>N194+N190</f>
        <v>0</v>
      </c>
      <c r="O189" s="19">
        <f t="shared" ref="O189:O197" si="57">SUM(M189:N189)</f>
        <v>0</v>
      </c>
      <c r="P189" s="19">
        <v>0</v>
      </c>
      <c r="Q189" s="19">
        <f>Q194+Q190</f>
        <v>0</v>
      </c>
      <c r="R189" s="19">
        <f t="shared" ref="R189:R201" si="58">SUM(P189:Q189)</f>
        <v>0</v>
      </c>
      <c r="S189" s="19">
        <v>10328.1</v>
      </c>
      <c r="T189" s="19">
        <f>SUM(T190+T191+T192+T193+T194+T195)</f>
        <v>-0.5</v>
      </c>
      <c r="U189" s="19">
        <f>SUM(S189:T189)</f>
        <v>10327.6</v>
      </c>
      <c r="V189" s="19">
        <v>10327.6</v>
      </c>
      <c r="W189" s="19">
        <f>W190+W191+W192+W193+W194+W195+W196</f>
        <v>0</v>
      </c>
      <c r="X189" s="18">
        <f t="shared" si="43"/>
        <v>10327.6</v>
      </c>
      <c r="Y189" s="9"/>
      <c r="Z189" s="4"/>
    </row>
    <row r="190" spans="1:27" ht="57" hidden="1" customHeight="1" outlineLevel="1" x14ac:dyDescent="0.25">
      <c r="A190" s="45"/>
      <c r="B190" s="38"/>
      <c r="C190" s="46"/>
      <c r="D190" s="50"/>
      <c r="E190" s="139" t="s">
        <v>308</v>
      </c>
      <c r="F190" s="139"/>
      <c r="G190" s="139"/>
      <c r="H190" s="139"/>
      <c r="I190" s="15" t="s">
        <v>22</v>
      </c>
      <c r="J190" s="6" t="s">
        <v>19</v>
      </c>
      <c r="K190" s="6" t="s">
        <v>23</v>
      </c>
      <c r="L190" s="11" t="s">
        <v>13</v>
      </c>
      <c r="M190" s="19">
        <v>0</v>
      </c>
      <c r="N190" s="19"/>
      <c r="O190" s="19">
        <f t="shared" si="57"/>
        <v>0</v>
      </c>
      <c r="P190" s="19">
        <v>0</v>
      </c>
      <c r="Q190" s="19"/>
      <c r="R190" s="19">
        <f t="shared" si="58"/>
        <v>0</v>
      </c>
      <c r="S190" s="19">
        <v>4343.1000000000004</v>
      </c>
      <c r="T190" s="19">
        <v>-0.5</v>
      </c>
      <c r="U190" s="19">
        <f>SUM(S190:T190)</f>
        <v>4342.6000000000004</v>
      </c>
      <c r="V190" s="19">
        <v>4342.6000000000004</v>
      </c>
      <c r="W190" s="19"/>
      <c r="X190" s="18">
        <f t="shared" si="43"/>
        <v>4342.6000000000004</v>
      </c>
      <c r="Y190" s="9"/>
      <c r="Z190" s="4"/>
    </row>
    <row r="191" spans="1:27" ht="39.75" hidden="1" customHeight="1" outlineLevel="1" x14ac:dyDescent="0.25">
      <c r="A191" s="45"/>
      <c r="B191" s="38"/>
      <c r="C191" s="46"/>
      <c r="D191" s="50"/>
      <c r="E191" s="139" t="s">
        <v>380</v>
      </c>
      <c r="F191" s="139"/>
      <c r="G191" s="139"/>
      <c r="H191" s="139"/>
      <c r="I191" s="15"/>
      <c r="J191" s="6">
        <v>23</v>
      </c>
      <c r="K191" s="6">
        <v>1</v>
      </c>
      <c r="L191" s="11" t="s">
        <v>7</v>
      </c>
      <c r="M191" s="19">
        <v>0</v>
      </c>
      <c r="N191" s="19"/>
      <c r="O191" s="19">
        <f t="shared" si="57"/>
        <v>0</v>
      </c>
      <c r="P191" s="19">
        <v>0</v>
      </c>
      <c r="Q191" s="19"/>
      <c r="R191" s="19">
        <f t="shared" si="58"/>
        <v>0</v>
      </c>
      <c r="S191" s="19">
        <v>1117.3</v>
      </c>
      <c r="T191" s="19"/>
      <c r="U191" s="19">
        <f t="shared" ref="U191:U195" si="59">SUM(S191:T191)</f>
        <v>1117.3</v>
      </c>
      <c r="V191" s="19">
        <v>1117.3</v>
      </c>
      <c r="W191" s="19"/>
      <c r="X191" s="18">
        <f t="shared" si="43"/>
        <v>1117.3</v>
      </c>
      <c r="Y191" s="9"/>
      <c r="Z191" s="4"/>
    </row>
    <row r="192" spans="1:27" ht="48.75" hidden="1" customHeight="1" outlineLevel="1" x14ac:dyDescent="0.25">
      <c r="A192" s="45"/>
      <c r="B192" s="38"/>
      <c r="C192" s="46"/>
      <c r="D192" s="50"/>
      <c r="E192" s="139" t="s">
        <v>381</v>
      </c>
      <c r="F192" s="139"/>
      <c r="G192" s="139"/>
      <c r="H192" s="139"/>
      <c r="I192" s="15"/>
      <c r="J192" s="6">
        <v>23</v>
      </c>
      <c r="K192" s="6">
        <v>1</v>
      </c>
      <c r="L192" s="11" t="s">
        <v>5</v>
      </c>
      <c r="M192" s="19">
        <v>0</v>
      </c>
      <c r="N192" s="19"/>
      <c r="O192" s="19">
        <f t="shared" si="57"/>
        <v>0</v>
      </c>
      <c r="P192" s="19">
        <v>0</v>
      </c>
      <c r="Q192" s="19"/>
      <c r="R192" s="19">
        <f t="shared" si="58"/>
        <v>0</v>
      </c>
      <c r="S192" s="19">
        <v>1153.5</v>
      </c>
      <c r="T192" s="19"/>
      <c r="U192" s="19">
        <f t="shared" si="59"/>
        <v>1153.5</v>
      </c>
      <c r="V192" s="19">
        <v>1153.5</v>
      </c>
      <c r="W192" s="19"/>
      <c r="X192" s="18">
        <f t="shared" si="43"/>
        <v>1153.5</v>
      </c>
      <c r="Y192" s="9"/>
      <c r="Z192" s="4"/>
    </row>
    <row r="193" spans="1:27" ht="39" hidden="1" customHeight="1" outlineLevel="1" x14ac:dyDescent="0.25">
      <c r="A193" s="45"/>
      <c r="B193" s="38"/>
      <c r="C193" s="46"/>
      <c r="D193" s="50"/>
      <c r="E193" s="139" t="s">
        <v>382</v>
      </c>
      <c r="F193" s="139"/>
      <c r="G193" s="139"/>
      <c r="H193" s="139"/>
      <c r="I193" s="15"/>
      <c r="J193" s="6">
        <v>23</v>
      </c>
      <c r="K193" s="6">
        <v>1</v>
      </c>
      <c r="L193" s="11" t="s">
        <v>1</v>
      </c>
      <c r="M193" s="19">
        <v>0</v>
      </c>
      <c r="N193" s="19"/>
      <c r="O193" s="19">
        <f t="shared" si="57"/>
        <v>0</v>
      </c>
      <c r="P193" s="19">
        <v>0</v>
      </c>
      <c r="Q193" s="19"/>
      <c r="R193" s="19">
        <f t="shared" si="58"/>
        <v>0</v>
      </c>
      <c r="S193" s="19">
        <v>1112.0999999999999</v>
      </c>
      <c r="T193" s="19"/>
      <c r="U193" s="19">
        <f t="shared" si="59"/>
        <v>1112.0999999999999</v>
      </c>
      <c r="V193" s="19">
        <v>1112.0999999999999</v>
      </c>
      <c r="W193" s="19"/>
      <c r="X193" s="18">
        <f t="shared" si="43"/>
        <v>1112.0999999999999</v>
      </c>
      <c r="Y193" s="9"/>
      <c r="Z193" s="4"/>
    </row>
    <row r="194" spans="1:27" ht="41.25" hidden="1" customHeight="1" outlineLevel="1" x14ac:dyDescent="0.25">
      <c r="A194" s="45"/>
      <c r="B194" s="38"/>
      <c r="C194" s="46"/>
      <c r="D194" s="14"/>
      <c r="E194" s="139" t="s">
        <v>383</v>
      </c>
      <c r="F194" s="139"/>
      <c r="G194" s="139"/>
      <c r="H194" s="139"/>
      <c r="I194" s="15" t="s">
        <v>22</v>
      </c>
      <c r="J194" s="6" t="s">
        <v>19</v>
      </c>
      <c r="K194" s="6" t="s">
        <v>23</v>
      </c>
      <c r="L194" s="11" t="s">
        <v>134</v>
      </c>
      <c r="M194" s="19">
        <v>0</v>
      </c>
      <c r="N194" s="19"/>
      <c r="O194" s="19">
        <f t="shared" si="57"/>
        <v>0</v>
      </c>
      <c r="P194" s="19">
        <v>0</v>
      </c>
      <c r="Q194" s="19"/>
      <c r="R194" s="19">
        <f t="shared" si="58"/>
        <v>0</v>
      </c>
      <c r="S194" s="19">
        <v>1469.1</v>
      </c>
      <c r="T194" s="19"/>
      <c r="U194" s="19">
        <f t="shared" si="59"/>
        <v>1469.1</v>
      </c>
      <c r="V194" s="19">
        <v>1469.1</v>
      </c>
      <c r="W194" s="19"/>
      <c r="X194" s="18">
        <f t="shared" si="43"/>
        <v>1469.1</v>
      </c>
      <c r="Y194" s="9"/>
      <c r="Z194" s="4"/>
    </row>
    <row r="195" spans="1:27" ht="34.5" hidden="1" customHeight="1" outlineLevel="1" x14ac:dyDescent="0.25">
      <c r="A195" s="45"/>
      <c r="B195" s="38"/>
      <c r="C195" s="46"/>
      <c r="D195" s="14"/>
      <c r="E195" s="139" t="s">
        <v>384</v>
      </c>
      <c r="F195" s="139"/>
      <c r="G195" s="139"/>
      <c r="H195" s="139"/>
      <c r="I195" s="15"/>
      <c r="J195" s="6" t="s">
        <v>19</v>
      </c>
      <c r="K195" s="6" t="s">
        <v>23</v>
      </c>
      <c r="L195" s="11" t="s">
        <v>124</v>
      </c>
      <c r="M195" s="19"/>
      <c r="N195" s="19"/>
      <c r="O195" s="19"/>
      <c r="P195" s="19"/>
      <c r="Q195" s="19"/>
      <c r="R195" s="19"/>
      <c r="S195" s="19">
        <v>1133</v>
      </c>
      <c r="T195" s="19"/>
      <c r="U195" s="19">
        <f t="shared" si="59"/>
        <v>1133</v>
      </c>
      <c r="V195" s="19">
        <v>1133</v>
      </c>
      <c r="W195" s="19"/>
      <c r="X195" s="18">
        <f t="shared" si="43"/>
        <v>1133</v>
      </c>
      <c r="Y195" s="9"/>
      <c r="Z195" s="4"/>
    </row>
    <row r="196" spans="1:27" ht="28.5" hidden="1" customHeight="1" outlineLevel="1" x14ac:dyDescent="0.25">
      <c r="A196" s="45"/>
      <c r="B196" s="38"/>
      <c r="C196" s="46"/>
      <c r="D196" s="14"/>
      <c r="E196" s="147" t="s">
        <v>279</v>
      </c>
      <c r="F196" s="139"/>
      <c r="G196" s="139"/>
      <c r="H196" s="139"/>
      <c r="I196" s="15"/>
      <c r="J196" s="6" t="s">
        <v>19</v>
      </c>
      <c r="K196" s="6" t="s">
        <v>23</v>
      </c>
      <c r="L196" s="11" t="s">
        <v>17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8">
        <f t="shared" si="43"/>
        <v>0</v>
      </c>
      <c r="Y196" s="9"/>
      <c r="Z196" s="4"/>
    </row>
    <row r="197" spans="1:27" ht="45" customHeight="1" collapsed="1" x14ac:dyDescent="0.25">
      <c r="A197" s="45"/>
      <c r="B197" s="38"/>
      <c r="C197" s="46"/>
      <c r="D197" s="217" t="s">
        <v>280</v>
      </c>
      <c r="E197" s="139"/>
      <c r="F197" s="139"/>
      <c r="G197" s="139"/>
      <c r="H197" s="139"/>
      <c r="I197" s="15" t="s">
        <v>21</v>
      </c>
      <c r="J197" s="6" t="s">
        <v>19</v>
      </c>
      <c r="K197" s="6" t="s">
        <v>18</v>
      </c>
      <c r="L197" s="6" t="s">
        <v>4</v>
      </c>
      <c r="M197" s="19">
        <f>M198+M201</f>
        <v>115913.4</v>
      </c>
      <c r="N197" s="19">
        <f>N198+N201</f>
        <v>15000</v>
      </c>
      <c r="O197" s="19">
        <f t="shared" si="57"/>
        <v>130913.4</v>
      </c>
      <c r="P197" s="19">
        <v>130913.4</v>
      </c>
      <c r="Q197" s="19">
        <f>Q198+Q201</f>
        <v>6809.4</v>
      </c>
      <c r="R197" s="19">
        <f t="shared" si="58"/>
        <v>137722.79999999999</v>
      </c>
      <c r="S197" s="19">
        <v>187864.4</v>
      </c>
      <c r="T197" s="19">
        <f>SUM(T198+T199+T200+T201)</f>
        <v>-3961.6</v>
      </c>
      <c r="U197" s="19">
        <f>SUM(S197:T197)</f>
        <v>183902.8</v>
      </c>
      <c r="V197" s="19">
        <v>183902.8</v>
      </c>
      <c r="W197" s="19">
        <f>W198+W199+W200+W201</f>
        <v>0</v>
      </c>
      <c r="X197" s="18">
        <f t="shared" si="43"/>
        <v>183902.8</v>
      </c>
      <c r="Y197" s="9"/>
      <c r="Z197" s="4"/>
    </row>
    <row r="198" spans="1:27" ht="66.75" hidden="1" customHeight="1" outlineLevel="1" x14ac:dyDescent="0.25">
      <c r="A198" s="45"/>
      <c r="B198" s="38"/>
      <c r="C198" s="46"/>
      <c r="D198" s="14"/>
      <c r="E198" s="147" t="s">
        <v>281</v>
      </c>
      <c r="F198" s="139"/>
      <c r="G198" s="139"/>
      <c r="H198" s="139"/>
      <c r="I198" s="15" t="s">
        <v>20</v>
      </c>
      <c r="J198" s="6" t="s">
        <v>19</v>
      </c>
      <c r="K198" s="6" t="s">
        <v>18</v>
      </c>
      <c r="L198" s="6" t="s">
        <v>13</v>
      </c>
      <c r="M198" s="19">
        <v>0</v>
      </c>
      <c r="N198" s="19"/>
      <c r="O198" s="19">
        <f t="shared" ref="O198:O209" si="60">SUM(M198:N198)</f>
        <v>0</v>
      </c>
      <c r="P198" s="19">
        <v>0</v>
      </c>
      <c r="Q198" s="19">
        <f>3500+3294.4</f>
        <v>6794.4</v>
      </c>
      <c r="R198" s="19">
        <f t="shared" si="58"/>
        <v>6794.4</v>
      </c>
      <c r="S198" s="19">
        <v>7439.7</v>
      </c>
      <c r="T198" s="19"/>
      <c r="U198" s="19">
        <f t="shared" ref="U198:U201" si="61">SUM(S198:T198)</f>
        <v>7439.7</v>
      </c>
      <c r="V198" s="19">
        <v>7439.7</v>
      </c>
      <c r="W198" s="19"/>
      <c r="X198" s="18">
        <f t="shared" si="43"/>
        <v>7439.7</v>
      </c>
      <c r="Y198" s="9"/>
      <c r="Z198" s="4"/>
    </row>
    <row r="199" spans="1:27" ht="38.25" hidden="1" customHeight="1" outlineLevel="1" x14ac:dyDescent="0.25">
      <c r="A199" s="45"/>
      <c r="B199" s="38"/>
      <c r="C199" s="46"/>
      <c r="D199" s="14"/>
      <c r="E199" s="139" t="s">
        <v>353</v>
      </c>
      <c r="F199" s="139"/>
      <c r="G199" s="139"/>
      <c r="H199" s="139"/>
      <c r="I199" s="15"/>
      <c r="J199" s="6">
        <v>23</v>
      </c>
      <c r="K199" s="6">
        <v>2</v>
      </c>
      <c r="L199" s="11" t="s">
        <v>11</v>
      </c>
      <c r="M199" s="19">
        <v>0</v>
      </c>
      <c r="N199" s="19"/>
      <c r="O199" s="19">
        <f t="shared" si="60"/>
        <v>0</v>
      </c>
      <c r="P199" s="19">
        <v>0</v>
      </c>
      <c r="Q199" s="19"/>
      <c r="R199" s="19">
        <f t="shared" si="58"/>
        <v>0</v>
      </c>
      <c r="S199" s="19">
        <v>0</v>
      </c>
      <c r="T199" s="19"/>
      <c r="U199" s="19">
        <f t="shared" si="61"/>
        <v>0</v>
      </c>
      <c r="V199" s="19">
        <v>0</v>
      </c>
      <c r="W199" s="19"/>
      <c r="X199" s="18">
        <f t="shared" si="43"/>
        <v>0</v>
      </c>
      <c r="Y199" s="9"/>
      <c r="Z199" s="4"/>
    </row>
    <row r="200" spans="1:27" ht="42" hidden="1" customHeight="1" outlineLevel="1" x14ac:dyDescent="0.25">
      <c r="A200" s="45"/>
      <c r="B200" s="38"/>
      <c r="C200" s="46"/>
      <c r="D200" s="14"/>
      <c r="E200" s="139" t="s">
        <v>354</v>
      </c>
      <c r="F200" s="139"/>
      <c r="G200" s="139"/>
      <c r="H200" s="139"/>
      <c r="I200" s="15"/>
      <c r="J200" s="6">
        <v>23</v>
      </c>
      <c r="K200" s="6">
        <v>2</v>
      </c>
      <c r="L200" s="11" t="s">
        <v>26</v>
      </c>
      <c r="M200" s="19">
        <v>0</v>
      </c>
      <c r="N200" s="19"/>
      <c r="O200" s="19">
        <f t="shared" si="60"/>
        <v>0</v>
      </c>
      <c r="P200" s="19">
        <v>0</v>
      </c>
      <c r="Q200" s="19"/>
      <c r="R200" s="19">
        <f t="shared" si="58"/>
        <v>0</v>
      </c>
      <c r="S200" s="19">
        <v>0</v>
      </c>
      <c r="T200" s="19"/>
      <c r="U200" s="19">
        <f t="shared" si="61"/>
        <v>0</v>
      </c>
      <c r="V200" s="19">
        <v>0</v>
      </c>
      <c r="W200" s="19"/>
      <c r="X200" s="18">
        <f t="shared" si="43"/>
        <v>0</v>
      </c>
      <c r="Y200" s="9"/>
      <c r="Z200" s="4"/>
    </row>
    <row r="201" spans="1:27" ht="48" hidden="1" customHeight="1" outlineLevel="1" x14ac:dyDescent="0.25">
      <c r="A201" s="45"/>
      <c r="B201" s="38"/>
      <c r="C201" s="46"/>
      <c r="D201" s="14"/>
      <c r="E201" s="147" t="s">
        <v>279</v>
      </c>
      <c r="F201" s="139"/>
      <c r="G201" s="139"/>
      <c r="H201" s="139"/>
      <c r="I201" s="15" t="s">
        <v>16</v>
      </c>
      <c r="J201" s="6" t="s">
        <v>19</v>
      </c>
      <c r="K201" s="6" t="s">
        <v>18</v>
      </c>
      <c r="L201" s="6" t="s">
        <v>17</v>
      </c>
      <c r="M201" s="19">
        <v>115913.4</v>
      </c>
      <c r="N201" s="19">
        <f>15000</f>
        <v>15000</v>
      </c>
      <c r="O201" s="19">
        <f t="shared" si="60"/>
        <v>130913.4</v>
      </c>
      <c r="P201" s="19">
        <v>130913.4</v>
      </c>
      <c r="Q201" s="19">
        <f>15+0</f>
        <v>15</v>
      </c>
      <c r="R201" s="19">
        <f t="shared" si="58"/>
        <v>130928.4</v>
      </c>
      <c r="S201" s="19">
        <v>180424.7</v>
      </c>
      <c r="T201" s="19">
        <v>-3961.6</v>
      </c>
      <c r="U201" s="19">
        <f t="shared" si="61"/>
        <v>176463.1</v>
      </c>
      <c r="V201" s="19">
        <v>176463.1</v>
      </c>
      <c r="W201" s="19"/>
      <c r="X201" s="18">
        <f t="shared" si="43"/>
        <v>176463.1</v>
      </c>
      <c r="Y201" s="9"/>
      <c r="Z201" s="4"/>
    </row>
    <row r="202" spans="1:27" ht="109.2" customHeight="1" collapsed="1" thickBot="1" x14ac:dyDescent="0.3">
      <c r="A202" s="45"/>
      <c r="B202" s="38"/>
      <c r="C202" s="46"/>
      <c r="D202" s="245" t="s">
        <v>180</v>
      </c>
      <c r="E202" s="246"/>
      <c r="F202" s="246"/>
      <c r="G202" s="246"/>
      <c r="H202" s="247"/>
      <c r="I202" s="119" t="s">
        <v>15</v>
      </c>
      <c r="J202" s="130" t="s">
        <v>3</v>
      </c>
      <c r="K202" s="130" t="s">
        <v>2</v>
      </c>
      <c r="L202" s="130" t="s">
        <v>4</v>
      </c>
      <c r="M202" s="108">
        <f>M203+M204+M205+M206+M207+M208+M209</f>
        <v>41394.100000000006</v>
      </c>
      <c r="N202" s="108">
        <f>N203+N204+N205+N206+N207+N208+N209</f>
        <v>4057.2000000000003</v>
      </c>
      <c r="O202" s="108">
        <f>O203+O204+O205+O206+O207+O208+O209</f>
        <v>45451.3</v>
      </c>
      <c r="P202" s="108">
        <v>45451.3</v>
      </c>
      <c r="Q202" s="108">
        <f>Q203+Q204+Q205+Q206+Q207+Q208+Q209</f>
        <v>10346.4</v>
      </c>
      <c r="R202" s="108">
        <f>R203+R204+R205+R206+R207+R208+R209</f>
        <v>55797.700000000012</v>
      </c>
      <c r="S202" s="109">
        <v>57903.100000000013</v>
      </c>
      <c r="T202" s="109">
        <f>SUM(T203+T204+T205+T206+T207+T208+T209)</f>
        <v>4218.5</v>
      </c>
      <c r="U202" s="109">
        <f>SUM(S202:T202)</f>
        <v>62121.600000000013</v>
      </c>
      <c r="V202" s="109">
        <v>62121.600000000013</v>
      </c>
      <c r="W202" s="109">
        <f>W203+W204+W205+W206+W207+W208+W209</f>
        <v>300.20000000000005</v>
      </c>
      <c r="X202" s="110">
        <f t="shared" ref="X202:X210" si="62">SUM(V202:W202)</f>
        <v>62421.80000000001</v>
      </c>
      <c r="Y202" s="137" t="s">
        <v>466</v>
      </c>
      <c r="Z202" s="4"/>
    </row>
    <row r="203" spans="1:27" ht="64.5" hidden="1" customHeight="1" outlineLevel="1" x14ac:dyDescent="0.25">
      <c r="A203" s="45"/>
      <c r="B203" s="38"/>
      <c r="C203" s="46"/>
      <c r="D203" s="14"/>
      <c r="E203" s="147" t="s">
        <v>282</v>
      </c>
      <c r="F203" s="139"/>
      <c r="G203" s="139"/>
      <c r="H203" s="139"/>
      <c r="I203" s="15" t="s">
        <v>14</v>
      </c>
      <c r="J203" s="6" t="s">
        <v>3</v>
      </c>
      <c r="K203" s="6" t="s">
        <v>2</v>
      </c>
      <c r="L203" s="6" t="s">
        <v>13</v>
      </c>
      <c r="M203" s="19">
        <v>10389.1</v>
      </c>
      <c r="N203" s="19"/>
      <c r="O203" s="19">
        <f t="shared" si="60"/>
        <v>10389.1</v>
      </c>
      <c r="P203" s="19">
        <v>10389.1</v>
      </c>
      <c r="Q203" s="19"/>
      <c r="R203" s="19">
        <f t="shared" ref="R203:R209" si="63">SUM(P203:Q203)</f>
        <v>10389.1</v>
      </c>
      <c r="S203" s="19">
        <v>10442.9</v>
      </c>
      <c r="T203" s="19">
        <f>0.5+14.8</f>
        <v>15.3</v>
      </c>
      <c r="U203" s="135">
        <f t="shared" ref="U203:U209" si="64">SUM(S203:T203)</f>
        <v>10458.199999999999</v>
      </c>
      <c r="V203" s="135">
        <v>10458.199999999999</v>
      </c>
      <c r="W203" s="135">
        <v>305.10000000000002</v>
      </c>
      <c r="X203" s="18">
        <f t="shared" si="62"/>
        <v>10763.3</v>
      </c>
      <c r="Y203" s="137" t="s">
        <v>465</v>
      </c>
      <c r="Z203" s="4"/>
      <c r="AA203" s="17"/>
    </row>
    <row r="204" spans="1:27" ht="84" hidden="1" customHeight="1" outlineLevel="1" x14ac:dyDescent="0.25">
      <c r="A204" s="45"/>
      <c r="B204" s="38"/>
      <c r="C204" s="46"/>
      <c r="D204" s="14"/>
      <c r="E204" s="139" t="s">
        <v>385</v>
      </c>
      <c r="F204" s="139"/>
      <c r="G204" s="139"/>
      <c r="H204" s="139"/>
      <c r="I204" s="15" t="s">
        <v>12</v>
      </c>
      <c r="J204" s="6" t="s">
        <v>3</v>
      </c>
      <c r="K204" s="6" t="s">
        <v>2</v>
      </c>
      <c r="L204" s="6" t="s">
        <v>11</v>
      </c>
      <c r="M204" s="19">
        <v>12479.7</v>
      </c>
      <c r="N204" s="19"/>
      <c r="O204" s="19">
        <f t="shared" si="60"/>
        <v>12479.7</v>
      </c>
      <c r="P204" s="19">
        <v>12479.7</v>
      </c>
      <c r="Q204" s="19">
        <v>-27.5</v>
      </c>
      <c r="R204" s="19">
        <f t="shared" si="63"/>
        <v>12452.2</v>
      </c>
      <c r="S204" s="19">
        <v>13758.6</v>
      </c>
      <c r="T204" s="19">
        <v>578.4</v>
      </c>
      <c r="U204" s="135">
        <f t="shared" si="64"/>
        <v>14337</v>
      </c>
      <c r="V204" s="135">
        <v>14337</v>
      </c>
      <c r="W204" s="135"/>
      <c r="X204" s="18">
        <f t="shared" si="62"/>
        <v>14337</v>
      </c>
      <c r="Y204" s="9"/>
      <c r="Z204" s="4"/>
    </row>
    <row r="205" spans="1:27" ht="27.75" hidden="1" customHeight="1" outlineLevel="1" x14ac:dyDescent="0.25">
      <c r="A205" s="45"/>
      <c r="B205" s="38"/>
      <c r="C205" s="46"/>
      <c r="D205" s="14"/>
      <c r="E205" s="147" t="s">
        <v>285</v>
      </c>
      <c r="F205" s="139"/>
      <c r="G205" s="139"/>
      <c r="H205" s="139"/>
      <c r="I205" s="15" t="s">
        <v>9</v>
      </c>
      <c r="J205" s="6" t="s">
        <v>3</v>
      </c>
      <c r="K205" s="6" t="s">
        <v>2</v>
      </c>
      <c r="L205" s="6" t="s">
        <v>10</v>
      </c>
      <c r="M205" s="19">
        <v>1500</v>
      </c>
      <c r="N205" s="19"/>
      <c r="O205" s="19">
        <f t="shared" si="60"/>
        <v>1500</v>
      </c>
      <c r="P205" s="19">
        <v>1500</v>
      </c>
      <c r="Q205" s="19">
        <v>-50.8</v>
      </c>
      <c r="R205" s="19">
        <f t="shared" si="63"/>
        <v>1449.2</v>
      </c>
      <c r="S205" s="19">
        <v>1356.1000000000001</v>
      </c>
      <c r="T205" s="19"/>
      <c r="U205" s="135">
        <f t="shared" si="64"/>
        <v>1356.1000000000001</v>
      </c>
      <c r="V205" s="135">
        <v>1356.1000000000001</v>
      </c>
      <c r="W205" s="135"/>
      <c r="X205" s="18">
        <f t="shared" si="62"/>
        <v>1356.1000000000001</v>
      </c>
      <c r="Y205" s="9"/>
      <c r="Z205" s="4"/>
    </row>
    <row r="206" spans="1:27" ht="42.75" hidden="1" customHeight="1" outlineLevel="1" x14ac:dyDescent="0.25">
      <c r="A206" s="45"/>
      <c r="B206" s="38"/>
      <c r="C206" s="46"/>
      <c r="D206" s="14"/>
      <c r="E206" s="139" t="s">
        <v>283</v>
      </c>
      <c r="F206" s="139"/>
      <c r="G206" s="139"/>
      <c r="H206" s="139"/>
      <c r="I206" s="15" t="s">
        <v>8</v>
      </c>
      <c r="J206" s="6" t="s">
        <v>3</v>
      </c>
      <c r="K206" s="6" t="s">
        <v>2</v>
      </c>
      <c r="L206" s="6" t="s">
        <v>7</v>
      </c>
      <c r="M206" s="19">
        <v>150</v>
      </c>
      <c r="N206" s="19">
        <f>3837.4+219.8</f>
        <v>4057.2000000000003</v>
      </c>
      <c r="O206" s="19">
        <f t="shared" si="60"/>
        <v>4207.2000000000007</v>
      </c>
      <c r="P206" s="19">
        <v>4207.2000000000007</v>
      </c>
      <c r="Q206" s="19">
        <f>615.5+270+1400+477.4+2500+2840.3</f>
        <v>8103.2</v>
      </c>
      <c r="R206" s="19">
        <f t="shared" si="63"/>
        <v>12310.400000000001</v>
      </c>
      <c r="S206" s="19">
        <v>20013.7</v>
      </c>
      <c r="T206" s="19">
        <f>300-0.5</f>
        <v>299.5</v>
      </c>
      <c r="U206" s="135">
        <f t="shared" si="64"/>
        <v>20313.2</v>
      </c>
      <c r="V206" s="135">
        <v>20313.2</v>
      </c>
      <c r="W206" s="135">
        <v>-4.9000000000000004</v>
      </c>
      <c r="X206" s="18">
        <f t="shared" si="62"/>
        <v>20308.3</v>
      </c>
      <c r="Y206" s="137" t="s">
        <v>464</v>
      </c>
      <c r="Z206" s="4"/>
    </row>
    <row r="207" spans="1:27" ht="146.25" hidden="1" customHeight="1" outlineLevel="1" x14ac:dyDescent="0.25">
      <c r="A207" s="45"/>
      <c r="B207" s="38"/>
      <c r="C207" s="46"/>
      <c r="D207" s="14"/>
      <c r="E207" s="147" t="s">
        <v>271</v>
      </c>
      <c r="F207" s="139"/>
      <c r="G207" s="139"/>
      <c r="H207" s="139"/>
      <c r="I207" s="15" t="s">
        <v>6</v>
      </c>
      <c r="J207" s="6" t="s">
        <v>3</v>
      </c>
      <c r="K207" s="6" t="s">
        <v>2</v>
      </c>
      <c r="L207" s="6" t="s">
        <v>5</v>
      </c>
      <c r="M207" s="19">
        <v>9875.2999999999993</v>
      </c>
      <c r="N207" s="19"/>
      <c r="O207" s="18">
        <f>SUM(M207:N207)</f>
        <v>9875.2999999999993</v>
      </c>
      <c r="P207" s="19">
        <v>9875.2999999999993</v>
      </c>
      <c r="Q207" s="19">
        <f>1817.3+302+129.5+72.7</f>
        <v>2321.5</v>
      </c>
      <c r="R207" s="18">
        <f t="shared" si="63"/>
        <v>12196.8</v>
      </c>
      <c r="S207" s="19">
        <v>12331.8</v>
      </c>
      <c r="T207" s="19">
        <f>3370-44.7</f>
        <v>3325.3</v>
      </c>
      <c r="U207" s="135">
        <f>SUM(S207:T207)</f>
        <v>15657.099999999999</v>
      </c>
      <c r="V207" s="135">
        <v>15657.099999999999</v>
      </c>
      <c r="W207" s="135"/>
      <c r="X207" s="18">
        <f t="shared" si="62"/>
        <v>15657.099999999999</v>
      </c>
      <c r="Y207" s="9"/>
      <c r="Z207" s="4"/>
    </row>
    <row r="208" spans="1:27" ht="23.25" hidden="1" customHeight="1" outlineLevel="1" x14ac:dyDescent="0.25">
      <c r="A208" s="45"/>
      <c r="B208" s="38"/>
      <c r="C208" s="46"/>
      <c r="D208" s="14"/>
      <c r="E208" s="147" t="s">
        <v>284</v>
      </c>
      <c r="F208" s="139"/>
      <c r="G208" s="139"/>
      <c r="H208" s="139"/>
      <c r="I208" s="16" t="s">
        <v>0</v>
      </c>
      <c r="J208" s="7" t="s">
        <v>3</v>
      </c>
      <c r="K208" s="7" t="s">
        <v>2</v>
      </c>
      <c r="L208" s="7" t="s">
        <v>1</v>
      </c>
      <c r="M208" s="18">
        <v>7000</v>
      </c>
      <c r="N208" s="18"/>
      <c r="O208" s="19">
        <f t="shared" si="60"/>
        <v>7000</v>
      </c>
      <c r="P208" s="18">
        <v>7000</v>
      </c>
      <c r="Q208" s="18"/>
      <c r="R208" s="19">
        <f t="shared" si="63"/>
        <v>7000</v>
      </c>
      <c r="S208" s="19">
        <v>0</v>
      </c>
      <c r="T208" s="19"/>
      <c r="U208" s="135">
        <f t="shared" si="64"/>
        <v>0</v>
      </c>
      <c r="V208" s="135">
        <v>0</v>
      </c>
      <c r="W208" s="135"/>
      <c r="X208" s="18">
        <f t="shared" si="62"/>
        <v>0</v>
      </c>
      <c r="Y208" s="9"/>
      <c r="Z208" s="4"/>
    </row>
    <row r="209" spans="1:26" ht="35.25" hidden="1" customHeight="1" outlineLevel="1" thickBot="1" x14ac:dyDescent="0.3">
      <c r="A209" s="51"/>
      <c r="B209" s="52"/>
      <c r="C209" s="53"/>
      <c r="D209" s="54"/>
      <c r="E209" s="159" t="s">
        <v>295</v>
      </c>
      <c r="F209" s="160"/>
      <c r="G209" s="160"/>
      <c r="H209" s="160"/>
      <c r="I209" s="25"/>
      <c r="J209" s="26" t="s">
        <v>3</v>
      </c>
      <c r="K209" s="26" t="s">
        <v>2</v>
      </c>
      <c r="L209" s="26" t="s">
        <v>296</v>
      </c>
      <c r="M209" s="27">
        <v>0</v>
      </c>
      <c r="N209" s="27"/>
      <c r="O209" s="28">
        <f t="shared" si="60"/>
        <v>0</v>
      </c>
      <c r="P209" s="27">
        <v>0</v>
      </c>
      <c r="Q209" s="27"/>
      <c r="R209" s="28">
        <f t="shared" si="63"/>
        <v>0</v>
      </c>
      <c r="S209" s="28">
        <v>0</v>
      </c>
      <c r="T209" s="28"/>
      <c r="U209" s="135">
        <f t="shared" si="64"/>
        <v>0</v>
      </c>
      <c r="V209" s="135">
        <v>0</v>
      </c>
      <c r="W209" s="135"/>
      <c r="X209" s="18">
        <f t="shared" si="62"/>
        <v>0</v>
      </c>
      <c r="Y209" s="29"/>
      <c r="Z209" s="4"/>
    </row>
    <row r="210" spans="1:26" ht="25.5" customHeight="1" collapsed="1" thickBot="1" x14ac:dyDescent="0.3">
      <c r="A210" s="12"/>
      <c r="B210" s="13"/>
      <c r="C210" s="13"/>
      <c r="D210" s="5"/>
      <c r="E210" s="242" t="s">
        <v>181</v>
      </c>
      <c r="F210" s="243"/>
      <c r="G210" s="243"/>
      <c r="H210" s="243"/>
      <c r="I210" s="243"/>
      <c r="J210" s="243"/>
      <c r="K210" s="243"/>
      <c r="L210" s="244"/>
      <c r="M210" s="131">
        <f t="shared" ref="M210:R210" si="65">(M9+M17+M22+M29+M41+M46+M59+M61+M63+M77+M81+M94+M99+M108+M125+M127+M130+M140+M151+M175+M177+M188+M202)</f>
        <v>5116037.0999999987</v>
      </c>
      <c r="N210" s="132">
        <f t="shared" si="65"/>
        <v>46159.1</v>
      </c>
      <c r="O210" s="132">
        <f t="shared" si="65"/>
        <v>5162196.1999999993</v>
      </c>
      <c r="P210" s="131">
        <f t="shared" si="65"/>
        <v>5162196.1999999993</v>
      </c>
      <c r="Q210" s="132">
        <f t="shared" si="65"/>
        <v>149755.89999999997</v>
      </c>
      <c r="R210" s="132">
        <f t="shared" si="65"/>
        <v>5311952.0999999996</v>
      </c>
      <c r="S210" s="132">
        <v>5497115.2999999998</v>
      </c>
      <c r="T210" s="132">
        <f>SUM(T9+T17+T22+T29+T41+T46+T59+T61+T63+T77+T81+T94+T99+T108+T125+T127+T130+T140+T151+T175+T177+T188+T202)</f>
        <v>518028.69999999995</v>
      </c>
      <c r="U210" s="132">
        <f>S210+T210</f>
        <v>6015144</v>
      </c>
      <c r="V210" s="132">
        <v>6015144</v>
      </c>
      <c r="W210" s="132">
        <f>SUM(W9+W17+W22+W29+W41+W46+W59+W61+W63+W77+W81+W94+W99+W108+W125+W127+W130+W140+W151+W175+W177+W188+W202)</f>
        <v>112792.89999999998</v>
      </c>
      <c r="X210" s="111">
        <f t="shared" si="62"/>
        <v>6127936.9000000004</v>
      </c>
      <c r="Y210" s="133"/>
      <c r="Z210" s="4"/>
    </row>
    <row r="211" spans="1:26" ht="12.75" hidden="1" customHeight="1" x14ac:dyDescent="0.25">
      <c r="A211" s="1"/>
      <c r="B211" s="1"/>
      <c r="C211" s="10"/>
      <c r="D211" s="10"/>
      <c r="E211" s="10"/>
      <c r="F211" s="10" t="s">
        <v>291</v>
      </c>
      <c r="G211" s="10"/>
      <c r="H211" s="10"/>
      <c r="I211" s="10"/>
      <c r="J211" s="10"/>
      <c r="K211" s="10"/>
      <c r="L211" s="10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34"/>
      <c r="Z211" s="34"/>
    </row>
    <row r="212" spans="1:26" hidden="1" x14ac:dyDescent="0.25">
      <c r="L212" s="47"/>
      <c r="T212" s="36">
        <v>188362.1</v>
      </c>
      <c r="U212" s="36">
        <v>5500314.2000000002</v>
      </c>
    </row>
    <row r="213" spans="1:26" hidden="1" x14ac:dyDescent="0.25"/>
    <row r="214" spans="1:26" hidden="1" x14ac:dyDescent="0.25">
      <c r="M214" s="44"/>
      <c r="P214" s="44"/>
      <c r="T214" s="44">
        <f>T210-T212</f>
        <v>329666.59999999998</v>
      </c>
    </row>
    <row r="216" spans="1:26" x14ac:dyDescent="0.25">
      <c r="O216" s="44"/>
      <c r="R216" s="44"/>
      <c r="S216" s="44"/>
      <c r="T216" s="44"/>
      <c r="U216" s="44"/>
      <c r="V216" s="44"/>
      <c r="W216" s="44"/>
      <c r="X216" s="44"/>
    </row>
    <row r="218" spans="1:26" x14ac:dyDescent="0.25">
      <c r="N218" s="44"/>
      <c r="Q218" s="44"/>
    </row>
  </sheetData>
  <mergeCells count="234">
    <mergeCell ref="E208:H208"/>
    <mergeCell ref="E209:H209"/>
    <mergeCell ref="E210:L210"/>
    <mergeCell ref="D202:H202"/>
    <mergeCell ref="E203:H203"/>
    <mergeCell ref="E204:H204"/>
    <mergeCell ref="E205:H205"/>
    <mergeCell ref="E206:H206"/>
    <mergeCell ref="E207:H207"/>
    <mergeCell ref="E196:H196"/>
    <mergeCell ref="D197:H197"/>
    <mergeCell ref="E198:H198"/>
    <mergeCell ref="E199:H199"/>
    <mergeCell ref="E200:H200"/>
    <mergeCell ref="E201:H201"/>
    <mergeCell ref="E190:H190"/>
    <mergeCell ref="E191:H191"/>
    <mergeCell ref="E192:H192"/>
    <mergeCell ref="E193:H193"/>
    <mergeCell ref="E194:H194"/>
    <mergeCell ref="E195:H195"/>
    <mergeCell ref="D184:H184"/>
    <mergeCell ref="E185:H185"/>
    <mergeCell ref="E186:H186"/>
    <mergeCell ref="E187:H187"/>
    <mergeCell ref="D188:H188"/>
    <mergeCell ref="D189:H189"/>
    <mergeCell ref="D178:H178"/>
    <mergeCell ref="E179:H179"/>
    <mergeCell ref="E180:H180"/>
    <mergeCell ref="E181:H181"/>
    <mergeCell ref="D182:H182"/>
    <mergeCell ref="E183:H183"/>
    <mergeCell ref="E172:H172"/>
    <mergeCell ref="D173:H173"/>
    <mergeCell ref="E174:H174"/>
    <mergeCell ref="D175:H175"/>
    <mergeCell ref="E176:H176"/>
    <mergeCell ref="D177:H177"/>
    <mergeCell ref="E166:H166"/>
    <mergeCell ref="E167:H167"/>
    <mergeCell ref="E168:H168"/>
    <mergeCell ref="D169:H169"/>
    <mergeCell ref="E170:H170"/>
    <mergeCell ref="E171:H171"/>
    <mergeCell ref="E160:H160"/>
    <mergeCell ref="E161:H161"/>
    <mergeCell ref="D162:H162"/>
    <mergeCell ref="E163:H163"/>
    <mergeCell ref="E164:H164"/>
    <mergeCell ref="E165:H165"/>
    <mergeCell ref="E154:H154"/>
    <mergeCell ref="E155:H155"/>
    <mergeCell ref="E156:H156"/>
    <mergeCell ref="E157:H157"/>
    <mergeCell ref="E158:H158"/>
    <mergeCell ref="E159:H159"/>
    <mergeCell ref="N152:N153"/>
    <mergeCell ref="O152:O153"/>
    <mergeCell ref="P152:P153"/>
    <mergeCell ref="Q152:Q153"/>
    <mergeCell ref="R152:R153"/>
    <mergeCell ref="Y152:Y153"/>
    <mergeCell ref="D152:H153"/>
    <mergeCell ref="I152:I153"/>
    <mergeCell ref="J152:J153"/>
    <mergeCell ref="K152:K153"/>
    <mergeCell ref="L152:L153"/>
    <mergeCell ref="M152:M153"/>
    <mergeCell ref="D146:H146"/>
    <mergeCell ref="E147:H147"/>
    <mergeCell ref="D148:H148"/>
    <mergeCell ref="E149:H149"/>
    <mergeCell ref="E150:H150"/>
    <mergeCell ref="D151:H151"/>
    <mergeCell ref="D140:H140"/>
    <mergeCell ref="D141:H141"/>
    <mergeCell ref="E142:H142"/>
    <mergeCell ref="E143:H143"/>
    <mergeCell ref="E144:H144"/>
    <mergeCell ref="E145:H145"/>
    <mergeCell ref="E134:H134"/>
    <mergeCell ref="E135:H135"/>
    <mergeCell ref="D136:H136"/>
    <mergeCell ref="E137:H137"/>
    <mergeCell ref="E138:H138"/>
    <mergeCell ref="E139:H139"/>
    <mergeCell ref="E128:H128"/>
    <mergeCell ref="E129:H129"/>
    <mergeCell ref="D130:H130"/>
    <mergeCell ref="D131:H131"/>
    <mergeCell ref="E132:H132"/>
    <mergeCell ref="E133:H133"/>
    <mergeCell ref="E122:H122"/>
    <mergeCell ref="D123:H123"/>
    <mergeCell ref="E124:H124"/>
    <mergeCell ref="D125:H125"/>
    <mergeCell ref="E126:H126"/>
    <mergeCell ref="D127:H127"/>
    <mergeCell ref="E116:H116"/>
    <mergeCell ref="E117:H117"/>
    <mergeCell ref="E118:H118"/>
    <mergeCell ref="D119:H119"/>
    <mergeCell ref="E120:H120"/>
    <mergeCell ref="D121:H121"/>
    <mergeCell ref="E110:H110"/>
    <mergeCell ref="E111:H111"/>
    <mergeCell ref="E112:H112"/>
    <mergeCell ref="E113:H113"/>
    <mergeCell ref="D114:H114"/>
    <mergeCell ref="E115:H115"/>
    <mergeCell ref="D104:H104"/>
    <mergeCell ref="E105:H105"/>
    <mergeCell ref="D106:H106"/>
    <mergeCell ref="E107:H107"/>
    <mergeCell ref="D108:H108"/>
    <mergeCell ref="D109:H109"/>
    <mergeCell ref="E98:H98"/>
    <mergeCell ref="D99:H99"/>
    <mergeCell ref="D100:H100"/>
    <mergeCell ref="E101:H101"/>
    <mergeCell ref="E102:H102"/>
    <mergeCell ref="E103:H103"/>
    <mergeCell ref="D92:H92"/>
    <mergeCell ref="E93:H93"/>
    <mergeCell ref="D94:H94"/>
    <mergeCell ref="E95:H95"/>
    <mergeCell ref="E96:H96"/>
    <mergeCell ref="E97:H97"/>
    <mergeCell ref="E86:H86"/>
    <mergeCell ref="D87:H87"/>
    <mergeCell ref="E88:H88"/>
    <mergeCell ref="E89:H89"/>
    <mergeCell ref="E90:H90"/>
    <mergeCell ref="E91:H91"/>
    <mergeCell ref="E80:H80"/>
    <mergeCell ref="D81:H81"/>
    <mergeCell ref="D82:H82"/>
    <mergeCell ref="E83:H83"/>
    <mergeCell ref="D84:H84"/>
    <mergeCell ref="E85:H85"/>
    <mergeCell ref="E74:I74"/>
    <mergeCell ref="E75:H75"/>
    <mergeCell ref="E76:H76"/>
    <mergeCell ref="D77:H77"/>
    <mergeCell ref="E78:H78"/>
    <mergeCell ref="E79:H79"/>
    <mergeCell ref="E68:H68"/>
    <mergeCell ref="D69:H69"/>
    <mergeCell ref="E70:H70"/>
    <mergeCell ref="E71:H71"/>
    <mergeCell ref="E72:H72"/>
    <mergeCell ref="E73:H73"/>
    <mergeCell ref="E62:H62"/>
    <mergeCell ref="D63:H63"/>
    <mergeCell ref="D64:H64"/>
    <mergeCell ref="E65:H65"/>
    <mergeCell ref="E66:H66"/>
    <mergeCell ref="E67:H67"/>
    <mergeCell ref="E56:H56"/>
    <mergeCell ref="D57:H57"/>
    <mergeCell ref="E58:H58"/>
    <mergeCell ref="D59:H59"/>
    <mergeCell ref="E60:H60"/>
    <mergeCell ref="D61:H61"/>
    <mergeCell ref="E50:H50"/>
    <mergeCell ref="E51:H51"/>
    <mergeCell ref="E52:H52"/>
    <mergeCell ref="D53:H53"/>
    <mergeCell ref="E54:H54"/>
    <mergeCell ref="E55:H55"/>
    <mergeCell ref="D44:H44"/>
    <mergeCell ref="E45:H45"/>
    <mergeCell ref="D46:H46"/>
    <mergeCell ref="D47:H47"/>
    <mergeCell ref="E48:H48"/>
    <mergeCell ref="E49:H49"/>
    <mergeCell ref="E38:H38"/>
    <mergeCell ref="D39:H39"/>
    <mergeCell ref="E40:H40"/>
    <mergeCell ref="D41:H41"/>
    <mergeCell ref="D42:H42"/>
    <mergeCell ref="E43:H43"/>
    <mergeCell ref="E32:H32"/>
    <mergeCell ref="E33:H33"/>
    <mergeCell ref="E34:H34"/>
    <mergeCell ref="D35:H35"/>
    <mergeCell ref="E36:H36"/>
    <mergeCell ref="E37:H37"/>
    <mergeCell ref="E26:H26"/>
    <mergeCell ref="E27:H27"/>
    <mergeCell ref="E28:H28"/>
    <mergeCell ref="D29:H29"/>
    <mergeCell ref="D30:H30"/>
    <mergeCell ref="E31:H31"/>
    <mergeCell ref="E20:H20"/>
    <mergeCell ref="E21:H21"/>
    <mergeCell ref="D22:H22"/>
    <mergeCell ref="E23:H23"/>
    <mergeCell ref="E24:H24"/>
    <mergeCell ref="E25:H25"/>
    <mergeCell ref="D14:H14"/>
    <mergeCell ref="E15:H15"/>
    <mergeCell ref="E16:H16"/>
    <mergeCell ref="D17:H17"/>
    <mergeCell ref="E18:H18"/>
    <mergeCell ref="E19:H19"/>
    <mergeCell ref="Y5:Y7"/>
    <mergeCell ref="D9:H9"/>
    <mergeCell ref="D10:H10"/>
    <mergeCell ref="E11:H11"/>
    <mergeCell ref="D12:H12"/>
    <mergeCell ref="E13:H13"/>
    <mergeCell ref="P5:P7"/>
    <mergeCell ref="Q5:Q7"/>
    <mergeCell ref="R5:R7"/>
    <mergeCell ref="S5:S7"/>
    <mergeCell ref="T5:T7"/>
    <mergeCell ref="U5:U7"/>
    <mergeCell ref="D5:H7"/>
    <mergeCell ref="I5:I7"/>
    <mergeCell ref="J5:L7"/>
    <mergeCell ref="M5:M7"/>
    <mergeCell ref="N5:N7"/>
    <mergeCell ref="O5:O7"/>
    <mergeCell ref="V5:V8"/>
    <mergeCell ref="W5:W8"/>
    <mergeCell ref="X5:X8"/>
    <mergeCell ref="S152:S153"/>
    <mergeCell ref="T152:T153"/>
    <mergeCell ref="U152:U153"/>
    <mergeCell ref="V152:V153"/>
    <mergeCell ref="X152:X153"/>
    <mergeCell ref="W152:W153"/>
  </mergeCells>
  <pageMargins left="0.78740157480314965" right="0.39370078740157483" top="0.98425196850393704" bottom="0" header="0.51181102362204722" footer="0.23622047244094491"/>
  <pageSetup paperSize="8" fitToHeight="18" orientation="landscape" r:id="rId1"/>
  <headerFooter alignWithMargins="0"/>
  <rowBreaks count="2" manualBreakCount="2">
    <brk id="159" max="24" man="1"/>
    <brk id="18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</vt:lpstr>
      <vt:lpstr>приложение (2)</vt:lpstr>
      <vt:lpstr>приложение!Заголовки_для_печати</vt:lpstr>
      <vt:lpstr>'приложение (2)'!Заголовки_для_печати</vt:lpstr>
      <vt:lpstr>приложение!Область_печати</vt:lpstr>
      <vt:lpstr>'приложение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Рянская Елена</cp:lastModifiedBy>
  <cp:lastPrinted>2022-12-13T18:09:52Z</cp:lastPrinted>
  <dcterms:created xsi:type="dcterms:W3CDTF">2020-01-24T05:18:11Z</dcterms:created>
  <dcterms:modified xsi:type="dcterms:W3CDTF">2022-12-13T18:15:00Z</dcterms:modified>
</cp:coreProperties>
</file>