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УТОЧНЕНИЕ БЮДЖЕТА\2020\2.сентябрь\Уточнение бюджета 18.09.2020 - копия\Пояснительная записка\"/>
    </mc:Choice>
  </mc:AlternateContent>
  <bookViews>
    <workbookView xWindow="0" yWindow="0" windowWidth="18660" windowHeight="10785"/>
  </bookViews>
  <sheets>
    <sheet name="Бюджет_3" sheetId="2" r:id="rId1"/>
  </sheets>
  <definedNames>
    <definedName name="_xlnm.Print_Titles" localSheetId="0">Бюджет_3!$4:$6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0" i="2" l="1"/>
  <c r="V138" i="2"/>
  <c r="V135" i="2"/>
  <c r="V147" i="2"/>
  <c r="V172" i="2" l="1"/>
  <c r="V42" i="2" l="1"/>
  <c r="V49" i="2"/>
  <c r="V142" i="2" l="1"/>
  <c r="V82" i="2" l="1"/>
  <c r="V170" i="2" l="1"/>
  <c r="V168" i="2"/>
  <c r="V58" i="2" l="1"/>
  <c r="U170" i="2" l="1"/>
  <c r="V165" i="2" l="1"/>
  <c r="T166" i="2"/>
  <c r="U166" i="2" s="1"/>
  <c r="W166" i="2" s="1"/>
  <c r="V163" i="2"/>
  <c r="V162" i="2"/>
  <c r="V89" i="2" l="1"/>
  <c r="V74" i="2"/>
  <c r="V156" i="2" l="1"/>
  <c r="V104" i="2"/>
  <c r="V102" i="2"/>
  <c r="W100" i="2"/>
  <c r="V96" i="2"/>
  <c r="V99" i="2" l="1"/>
  <c r="V148" i="2" l="1"/>
  <c r="V176" i="2" l="1"/>
  <c r="U176" i="2"/>
  <c r="U149" i="2"/>
  <c r="W149" i="2" s="1"/>
  <c r="U148" i="2"/>
  <c r="V146" i="2"/>
  <c r="T147" i="2"/>
  <c r="U147" i="2" s="1"/>
  <c r="S146" i="2"/>
  <c r="V62" i="2"/>
  <c r="U62" i="2"/>
  <c r="V61" i="2"/>
  <c r="U61" i="2"/>
  <c r="W61" i="2" s="1"/>
  <c r="T60" i="2"/>
  <c r="S60" i="2"/>
  <c r="V59" i="2"/>
  <c r="T59" i="2"/>
  <c r="U59" i="2" s="1"/>
  <c r="W59" i="2" s="1"/>
  <c r="V55" i="2"/>
  <c r="U58" i="2"/>
  <c r="U57" i="2"/>
  <c r="W57" i="2" s="1"/>
  <c r="U56" i="2"/>
  <c r="W56" i="2" s="1"/>
  <c r="S55" i="2"/>
  <c r="S54" i="2" l="1"/>
  <c r="W148" i="2"/>
  <c r="W58" i="2"/>
  <c r="U60" i="2"/>
  <c r="W62" i="2"/>
  <c r="W147" i="2"/>
  <c r="V60" i="2"/>
  <c r="V54" i="2" s="1"/>
  <c r="T146" i="2"/>
  <c r="U146" i="2" s="1"/>
  <c r="W146" i="2" s="1"/>
  <c r="W176" i="2"/>
  <c r="T55" i="2"/>
  <c r="T54" i="2" s="1"/>
  <c r="V24" i="2"/>
  <c r="U54" i="2" l="1"/>
  <c r="W54" i="2" s="1"/>
  <c r="W60" i="2"/>
  <c r="U55" i="2"/>
  <c r="W55" i="2" s="1"/>
  <c r="T49" i="2"/>
  <c r="U49" i="2" s="1"/>
  <c r="W49" i="2" s="1"/>
  <c r="V48" i="2"/>
  <c r="S48" i="2"/>
  <c r="V47" i="2"/>
  <c r="U47" i="2"/>
  <c r="U46" i="2"/>
  <c r="W46" i="2" s="1"/>
  <c r="U45" i="2"/>
  <c r="W45" i="2" s="1"/>
  <c r="T44" i="2"/>
  <c r="S44" i="2"/>
  <c r="U43" i="2"/>
  <c r="W43" i="2" s="1"/>
  <c r="U42" i="2"/>
  <c r="W42" i="2" s="1"/>
  <c r="V41" i="2"/>
  <c r="U41" i="2"/>
  <c r="W41" i="2" s="1"/>
  <c r="U40" i="2"/>
  <c r="W40" i="2" s="1"/>
  <c r="V39" i="2"/>
  <c r="T39" i="2"/>
  <c r="S39" i="2"/>
  <c r="U44" i="2" l="1"/>
  <c r="W47" i="2"/>
  <c r="S38" i="2"/>
  <c r="T48" i="2"/>
  <c r="T38" i="2" s="1"/>
  <c r="U39" i="2"/>
  <c r="W39" i="2" s="1"/>
  <c r="V44" i="2"/>
  <c r="V38" i="2" s="1"/>
  <c r="U38" i="2" l="1"/>
  <c r="W38" i="2" s="1"/>
  <c r="U48" i="2"/>
  <c r="W48" i="2" s="1"/>
  <c r="W44" i="2"/>
  <c r="V137" i="2"/>
  <c r="V136" i="2"/>
  <c r="V66" i="2" l="1"/>
  <c r="V65" i="2"/>
  <c r="V78" i="2"/>
  <c r="V75" i="2"/>
  <c r="U75" i="2"/>
  <c r="W75" i="2" l="1"/>
  <c r="V32" i="2"/>
  <c r="V27" i="2"/>
  <c r="V80" i="2" l="1"/>
  <c r="V178" i="2" l="1"/>
  <c r="V171" i="2" s="1"/>
  <c r="V71" i="2"/>
  <c r="W178" i="2" l="1"/>
  <c r="V94" i="2"/>
  <c r="V169" i="2" l="1"/>
  <c r="T21" i="2" l="1"/>
  <c r="V21" i="2"/>
  <c r="S21" i="2"/>
  <c r="W24" i="2"/>
  <c r="T82" i="2" l="1"/>
  <c r="U82" i="2" s="1"/>
  <c r="W82" i="2" s="1"/>
  <c r="S79" i="2"/>
  <c r="T140" i="2" l="1"/>
  <c r="T135" i="2"/>
  <c r="V81" i="2" l="1"/>
  <c r="V79" i="2" s="1"/>
  <c r="U177" i="2" l="1"/>
  <c r="W177" i="2" s="1"/>
  <c r="U175" i="2"/>
  <c r="W175" i="2" s="1"/>
  <c r="U174" i="2"/>
  <c r="W174" i="2" s="1"/>
  <c r="U173" i="2"/>
  <c r="W173" i="2" s="1"/>
  <c r="U172" i="2"/>
  <c r="W172" i="2" s="1"/>
  <c r="T171" i="2"/>
  <c r="S171" i="2"/>
  <c r="T170" i="2"/>
  <c r="W170" i="2" s="1"/>
  <c r="T169" i="2"/>
  <c r="T168" i="2" s="1"/>
  <c r="V164" i="2"/>
  <c r="S168" i="2"/>
  <c r="T167" i="2"/>
  <c r="U167" i="2" s="1"/>
  <c r="W167" i="2" s="1"/>
  <c r="T165" i="2"/>
  <c r="S165" i="2"/>
  <c r="U163" i="2"/>
  <c r="W163" i="2" s="1"/>
  <c r="U162" i="2"/>
  <c r="W162" i="2" s="1"/>
  <c r="U161" i="2"/>
  <c r="W161" i="2" s="1"/>
  <c r="V160" i="2"/>
  <c r="T160" i="2"/>
  <c r="S160" i="2"/>
  <c r="U159" i="2"/>
  <c r="W159" i="2" s="1"/>
  <c r="V158" i="2"/>
  <c r="T158" i="2"/>
  <c r="S158" i="2"/>
  <c r="U157" i="2"/>
  <c r="W157" i="2" s="1"/>
  <c r="U156" i="2"/>
  <c r="W156" i="2" s="1"/>
  <c r="V155" i="2"/>
  <c r="T155" i="2"/>
  <c r="S155" i="2"/>
  <c r="U153" i="2"/>
  <c r="W153" i="2" s="1"/>
  <c r="V152" i="2"/>
  <c r="T152" i="2"/>
  <c r="S152" i="2"/>
  <c r="U151" i="2"/>
  <c r="W151" i="2" s="1"/>
  <c r="V150" i="2"/>
  <c r="T150" i="2"/>
  <c r="S150" i="2"/>
  <c r="U145" i="2"/>
  <c r="W145" i="2" s="1"/>
  <c r="T144" i="2"/>
  <c r="U144" i="2" s="1"/>
  <c r="W144" i="2" s="1"/>
  <c r="U143" i="2"/>
  <c r="W143" i="2" s="1"/>
  <c r="U142" i="2"/>
  <c r="W142" i="2" s="1"/>
  <c r="V141" i="2"/>
  <c r="T141" i="2"/>
  <c r="S141" i="2"/>
  <c r="U140" i="2"/>
  <c r="W140" i="2" s="1"/>
  <c r="U139" i="2"/>
  <c r="W139" i="2" s="1"/>
  <c r="U138" i="2"/>
  <c r="W138" i="2" s="1"/>
  <c r="T138" i="2"/>
  <c r="T131" i="2" s="1"/>
  <c r="U137" i="2"/>
  <c r="W137" i="2" s="1"/>
  <c r="U136" i="2"/>
  <c r="W136" i="2" s="1"/>
  <c r="U135" i="2"/>
  <c r="W135" i="2" s="1"/>
  <c r="U134" i="2"/>
  <c r="W134" i="2" s="1"/>
  <c r="V131" i="2"/>
  <c r="S131" i="2"/>
  <c r="U129" i="2"/>
  <c r="W129" i="2" s="1"/>
  <c r="U128" i="2"/>
  <c r="W128" i="2" s="1"/>
  <c r="V127" i="2"/>
  <c r="T127" i="2"/>
  <c r="S127" i="2"/>
  <c r="U126" i="2"/>
  <c r="W126" i="2" s="1"/>
  <c r="V125" i="2"/>
  <c r="T125" i="2"/>
  <c r="S125" i="2"/>
  <c r="U124" i="2"/>
  <c r="W124" i="2" s="1"/>
  <c r="U123" i="2"/>
  <c r="W123" i="2" s="1"/>
  <c r="U122" i="2"/>
  <c r="W122" i="2" s="1"/>
  <c r="U121" i="2"/>
  <c r="W121" i="2" s="1"/>
  <c r="V120" i="2"/>
  <c r="T120" i="2"/>
  <c r="S120" i="2"/>
  <c r="U118" i="2"/>
  <c r="W118" i="2" s="1"/>
  <c r="V117" i="2"/>
  <c r="T117" i="2"/>
  <c r="S117" i="2"/>
  <c r="U116" i="2"/>
  <c r="W116" i="2" s="1"/>
  <c r="U115" i="2"/>
  <c r="W115" i="2" s="1"/>
  <c r="U114" i="2"/>
  <c r="W114" i="2" s="1"/>
  <c r="U113" i="2"/>
  <c r="W113" i="2" s="1"/>
  <c r="V112" i="2"/>
  <c r="T112" i="2"/>
  <c r="S112" i="2"/>
  <c r="U110" i="2"/>
  <c r="W110" i="2" s="1"/>
  <c r="V109" i="2"/>
  <c r="T109" i="2"/>
  <c r="S109" i="2"/>
  <c r="U108" i="2"/>
  <c r="W108" i="2" s="1"/>
  <c r="V107" i="2"/>
  <c r="T107" i="2"/>
  <c r="S107" i="2"/>
  <c r="U106" i="2"/>
  <c r="W106" i="2" s="1"/>
  <c r="V105" i="2"/>
  <c r="T105" i="2"/>
  <c r="S105" i="2"/>
  <c r="U104" i="2"/>
  <c r="W104" i="2" s="1"/>
  <c r="V103" i="2"/>
  <c r="T103" i="2"/>
  <c r="S103" i="2"/>
  <c r="U102" i="2"/>
  <c r="W102" i="2" s="1"/>
  <c r="V101" i="2"/>
  <c r="T101" i="2"/>
  <c r="S101" i="2"/>
  <c r="U99" i="2"/>
  <c r="W99" i="2" s="1"/>
  <c r="U98" i="2"/>
  <c r="W98" i="2" s="1"/>
  <c r="U97" i="2"/>
  <c r="W97" i="2" s="1"/>
  <c r="T96" i="2"/>
  <c r="S96" i="2"/>
  <c r="T95" i="2"/>
  <c r="U95" i="2" s="1"/>
  <c r="W95" i="2" s="1"/>
  <c r="U94" i="2"/>
  <c r="W94" i="2" s="1"/>
  <c r="V93" i="2"/>
  <c r="S93" i="2"/>
  <c r="U91" i="2"/>
  <c r="W91" i="2" s="1"/>
  <c r="V90" i="2"/>
  <c r="T90" i="2"/>
  <c r="S90" i="2"/>
  <c r="T89" i="2"/>
  <c r="T88" i="2" s="1"/>
  <c r="V88" i="2"/>
  <c r="S88" i="2"/>
  <c r="U87" i="2"/>
  <c r="W87" i="2" s="1"/>
  <c r="T86" i="2"/>
  <c r="U86" i="2" s="1"/>
  <c r="W86" i="2" s="1"/>
  <c r="V85" i="2"/>
  <c r="S85" i="2"/>
  <c r="U83" i="2"/>
  <c r="W83" i="2" s="1"/>
  <c r="U81" i="2"/>
  <c r="W81" i="2" s="1"/>
  <c r="T80" i="2"/>
  <c r="T79" i="2" s="1"/>
  <c r="T78" i="2"/>
  <c r="T77" i="2" s="1"/>
  <c r="V77" i="2"/>
  <c r="S77" i="2"/>
  <c r="T76" i="2"/>
  <c r="U76" i="2" s="1"/>
  <c r="W76" i="2" s="1"/>
  <c r="T74" i="2"/>
  <c r="U74" i="2" s="1"/>
  <c r="W74" i="2" s="1"/>
  <c r="V73" i="2"/>
  <c r="S73" i="2"/>
  <c r="U72" i="2"/>
  <c r="W72" i="2" s="1"/>
  <c r="U71" i="2"/>
  <c r="W71" i="2" s="1"/>
  <c r="V70" i="2"/>
  <c r="T70" i="2"/>
  <c r="S70" i="2"/>
  <c r="U69" i="2"/>
  <c r="W69" i="2" s="1"/>
  <c r="V68" i="2"/>
  <c r="T68" i="2"/>
  <c r="S68" i="2"/>
  <c r="T66" i="2"/>
  <c r="U66" i="2" s="1"/>
  <c r="W66" i="2" s="1"/>
  <c r="T65" i="2"/>
  <c r="U65" i="2" s="1"/>
  <c r="W65" i="2" s="1"/>
  <c r="U64" i="2"/>
  <c r="W64" i="2" s="1"/>
  <c r="V63" i="2"/>
  <c r="S63" i="2"/>
  <c r="U53" i="2"/>
  <c r="W53" i="2" s="1"/>
  <c r="V52" i="2"/>
  <c r="T52" i="2"/>
  <c r="S52" i="2"/>
  <c r="U51" i="2"/>
  <c r="W51" i="2" s="1"/>
  <c r="V50" i="2"/>
  <c r="T50" i="2"/>
  <c r="S50" i="2"/>
  <c r="U37" i="2"/>
  <c r="W37" i="2" s="1"/>
  <c r="V36" i="2"/>
  <c r="T36" i="2"/>
  <c r="S36" i="2"/>
  <c r="U35" i="2"/>
  <c r="W35" i="2" s="1"/>
  <c r="V34" i="2"/>
  <c r="T34" i="2"/>
  <c r="S34" i="2"/>
  <c r="U32" i="2"/>
  <c r="W32" i="2" s="1"/>
  <c r="V31" i="2"/>
  <c r="T31" i="2"/>
  <c r="S31" i="2"/>
  <c r="U30" i="2"/>
  <c r="W30" i="2" s="1"/>
  <c r="U29" i="2"/>
  <c r="W29" i="2" s="1"/>
  <c r="V28" i="2"/>
  <c r="T28" i="2"/>
  <c r="S28" i="2"/>
  <c r="U27" i="2"/>
  <c r="W27" i="2" s="1"/>
  <c r="V26" i="2"/>
  <c r="T26" i="2"/>
  <c r="S26" i="2"/>
  <c r="U23" i="2"/>
  <c r="W23" i="2" s="1"/>
  <c r="U22" i="2"/>
  <c r="U20" i="2"/>
  <c r="W20" i="2" s="1"/>
  <c r="U19" i="2"/>
  <c r="W19" i="2" s="1"/>
  <c r="U18" i="2"/>
  <c r="W18" i="2" s="1"/>
  <c r="U17" i="2"/>
  <c r="V16" i="2"/>
  <c r="T16" i="2"/>
  <c r="S16" i="2"/>
  <c r="U15" i="2"/>
  <c r="W15" i="2" s="1"/>
  <c r="U14" i="2"/>
  <c r="W14" i="2" s="1"/>
  <c r="V13" i="2"/>
  <c r="T13" i="2"/>
  <c r="S13" i="2"/>
  <c r="U12" i="2"/>
  <c r="V11" i="2"/>
  <c r="T11" i="2"/>
  <c r="S11" i="2"/>
  <c r="U10" i="2"/>
  <c r="U9" i="2" s="1"/>
  <c r="V9" i="2"/>
  <c r="T9" i="2"/>
  <c r="S9" i="2"/>
  <c r="U168" i="2" l="1"/>
  <c r="W168" i="2" s="1"/>
  <c r="V67" i="2"/>
  <c r="U80" i="2"/>
  <c r="W80" i="2" s="1"/>
  <c r="T85" i="2"/>
  <c r="U85" i="2" s="1"/>
  <c r="W85" i="2" s="1"/>
  <c r="U78" i="2"/>
  <c r="W78" i="2" s="1"/>
  <c r="T73" i="2"/>
  <c r="U73" i="2" s="1"/>
  <c r="W73" i="2" s="1"/>
  <c r="S119" i="2"/>
  <c r="W22" i="2"/>
  <c r="W21" i="2" s="1"/>
  <c r="U21" i="2"/>
  <c r="T63" i="2"/>
  <c r="U63" i="2" s="1"/>
  <c r="W63" i="2" s="1"/>
  <c r="T93" i="2"/>
  <c r="T92" i="2" s="1"/>
  <c r="U88" i="2"/>
  <c r="W88" i="2" s="1"/>
  <c r="U89" i="2"/>
  <c r="W89" i="2" s="1"/>
  <c r="U150" i="2"/>
  <c r="W150" i="2" s="1"/>
  <c r="U152" i="2"/>
  <c r="W152" i="2" s="1"/>
  <c r="U155" i="2"/>
  <c r="U169" i="2"/>
  <c r="W169" i="2" s="1"/>
  <c r="U171" i="2"/>
  <c r="W171" i="2" s="1"/>
  <c r="V84" i="2"/>
  <c r="U50" i="2"/>
  <c r="W50" i="2" s="1"/>
  <c r="T164" i="2"/>
  <c r="T8" i="2"/>
  <c r="U31" i="2"/>
  <c r="W31" i="2" s="1"/>
  <c r="U96" i="2"/>
  <c r="W96" i="2" s="1"/>
  <c r="V111" i="2"/>
  <c r="U131" i="2"/>
  <c r="W131" i="2" s="1"/>
  <c r="V154" i="2"/>
  <c r="W10" i="2"/>
  <c r="W9" i="2" s="1"/>
  <c r="S67" i="2"/>
  <c r="U77" i="2"/>
  <c r="W77" i="2" s="1"/>
  <c r="U90" i="2"/>
  <c r="W90" i="2" s="1"/>
  <c r="W155" i="2"/>
  <c r="V25" i="2"/>
  <c r="U70" i="2"/>
  <c r="W70" i="2" s="1"/>
  <c r="U101" i="2"/>
  <c r="W101" i="2" s="1"/>
  <c r="U105" i="2"/>
  <c r="W105" i="2" s="1"/>
  <c r="U109" i="2"/>
  <c r="W109" i="2" s="1"/>
  <c r="T111" i="2"/>
  <c r="U120" i="2"/>
  <c r="W120" i="2" s="1"/>
  <c r="U125" i="2"/>
  <c r="W125" i="2" s="1"/>
  <c r="U127" i="2"/>
  <c r="W127" i="2" s="1"/>
  <c r="T154" i="2"/>
  <c r="U160" i="2"/>
  <c r="W160" i="2" s="1"/>
  <c r="S8" i="2"/>
  <c r="S25" i="2"/>
  <c r="S33" i="2"/>
  <c r="W13" i="2"/>
  <c r="V33" i="2"/>
  <c r="W141" i="2"/>
  <c r="U52" i="2"/>
  <c r="W52" i="2" s="1"/>
  <c r="U79" i="2"/>
  <c r="W79" i="2" s="1"/>
  <c r="T119" i="2"/>
  <c r="U103" i="2"/>
  <c r="W103" i="2" s="1"/>
  <c r="U28" i="2"/>
  <c r="W28" i="2" s="1"/>
  <c r="U36" i="2"/>
  <c r="W36" i="2" s="1"/>
  <c r="U107" i="2"/>
  <c r="W107" i="2" s="1"/>
  <c r="U117" i="2"/>
  <c r="W117" i="2" s="1"/>
  <c r="U158" i="2"/>
  <c r="W158" i="2" s="1"/>
  <c r="W12" i="2"/>
  <c r="W11" i="2" s="1"/>
  <c r="U11" i="2"/>
  <c r="T25" i="2"/>
  <c r="T33" i="2"/>
  <c r="W17" i="2"/>
  <c r="W16" i="2" s="1"/>
  <c r="U16" i="2"/>
  <c r="U26" i="2"/>
  <c r="W26" i="2" s="1"/>
  <c r="U34" i="2"/>
  <c r="W34" i="2" s="1"/>
  <c r="U68" i="2"/>
  <c r="W68" i="2" s="1"/>
  <c r="S84" i="2"/>
  <c r="S92" i="2"/>
  <c r="S130" i="2"/>
  <c r="S164" i="2"/>
  <c r="U165" i="2"/>
  <c r="U13" i="2"/>
  <c r="S111" i="2"/>
  <c r="U112" i="2"/>
  <c r="W112" i="2" s="1"/>
  <c r="V119" i="2"/>
  <c r="S154" i="2"/>
  <c r="V8" i="2"/>
  <c r="U141" i="2"/>
  <c r="V92" i="2"/>
  <c r="T130" i="2"/>
  <c r="V130" i="2"/>
  <c r="T84" i="2" l="1"/>
  <c r="U84" i="2" s="1"/>
  <c r="W84" i="2" s="1"/>
  <c r="U93" i="2"/>
  <c r="W93" i="2" s="1"/>
  <c r="T67" i="2"/>
  <c r="U67" i="2" s="1"/>
  <c r="W67" i="2" s="1"/>
  <c r="U119" i="2"/>
  <c r="W119" i="2" s="1"/>
  <c r="W8" i="2"/>
  <c r="U92" i="2"/>
  <c r="W92" i="2" s="1"/>
  <c r="U111" i="2"/>
  <c r="W111" i="2" s="1"/>
  <c r="U154" i="2"/>
  <c r="W154" i="2" s="1"/>
  <c r="U8" i="2"/>
  <c r="U33" i="2"/>
  <c r="W33" i="2" s="1"/>
  <c r="U25" i="2"/>
  <c r="W25" i="2" s="1"/>
  <c r="U164" i="2"/>
  <c r="W165" i="2"/>
  <c r="W164" i="2" s="1"/>
  <c r="S179" i="2"/>
  <c r="U130" i="2"/>
  <c r="V179" i="2"/>
  <c r="T179" i="2" l="1"/>
  <c r="U179" i="2"/>
  <c r="W130" i="2"/>
  <c r="W179" i="2" s="1"/>
</calcChain>
</file>

<file path=xl/sharedStrings.xml><?xml version="1.0" encoding="utf-8"?>
<sst xmlns="http://schemas.openxmlformats.org/spreadsheetml/2006/main" count="1455" uniqueCount="494">
  <si>
    <t>000</t>
  </si>
  <si>
    <t>4000799990</t>
  </si>
  <si>
    <t>99990</t>
  </si>
  <si>
    <t>07</t>
  </si>
  <si>
    <t>0</t>
  </si>
  <si>
    <t>40</t>
  </si>
  <si>
    <t/>
  </si>
  <si>
    <t>4000685060</t>
  </si>
  <si>
    <t>06</t>
  </si>
  <si>
    <t>4000600000</t>
  </si>
  <si>
    <t>4000571604</t>
  </si>
  <si>
    <t>05</t>
  </si>
  <si>
    <t>4000500000</t>
  </si>
  <si>
    <t>4000499990</t>
  </si>
  <si>
    <t>04</t>
  </si>
  <si>
    <t>4000220901</t>
  </si>
  <si>
    <t>02</t>
  </si>
  <si>
    <t>4000200000</t>
  </si>
  <si>
    <t>4000102400</t>
  </si>
  <si>
    <t>01</t>
  </si>
  <si>
    <t>4000100000</t>
  </si>
  <si>
    <t>4000000000</t>
  </si>
  <si>
    <t>232F255550</t>
  </si>
  <si>
    <t>F2</t>
  </si>
  <si>
    <t>2</t>
  </si>
  <si>
    <t>23</t>
  </si>
  <si>
    <t>23201S2420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</si>
  <si>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</si>
  <si>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</si>
  <si>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</si>
  <si>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</si>
  <si>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</si>
  <si>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</si>
  <si>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</si>
  <si>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</si>
  <si>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</si>
  <si>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</si>
  <si>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2230199990</t>
  </si>
  <si>
    <t>2230100000</t>
  </si>
  <si>
    <t>2230000000</t>
  </si>
  <si>
    <t>22201S2370</t>
  </si>
  <si>
    <t>2220100000</t>
  </si>
  <si>
    <t>22102D9300</t>
  </si>
  <si>
    <t>2210200000</t>
  </si>
  <si>
    <t>2210120901</t>
  </si>
  <si>
    <t>2210100000</t>
  </si>
  <si>
    <t>2210000000</t>
  </si>
  <si>
    <t>2200000000</t>
  </si>
  <si>
    <t>2100199990</t>
  </si>
  <si>
    <t>21</t>
  </si>
  <si>
    <t>2100100000</t>
  </si>
  <si>
    <t>2040199990</t>
  </si>
  <si>
    <t>4</t>
  </si>
  <si>
    <t>20</t>
  </si>
  <si>
    <t>2030399990</t>
  </si>
  <si>
    <t>2030200590</t>
  </si>
  <si>
    <t>20301S2050</t>
  </si>
  <si>
    <t>2030100000</t>
  </si>
  <si>
    <t>2030000000</t>
  </si>
  <si>
    <t>202E1S2690</t>
  </si>
  <si>
    <t>E1</t>
  </si>
  <si>
    <t>202E100000</t>
  </si>
  <si>
    <t>2020399990</t>
  </si>
  <si>
    <t>2020199990</t>
  </si>
  <si>
    <t>2020000000</t>
  </si>
  <si>
    <t>2010784030</t>
  </si>
  <si>
    <t>2010700000</t>
  </si>
  <si>
    <t>2010600590</t>
  </si>
  <si>
    <t>2010599990</t>
  </si>
  <si>
    <t>2010484302</t>
  </si>
  <si>
    <t>2010400000</t>
  </si>
  <si>
    <t>2010384050</t>
  </si>
  <si>
    <t>2010284303</t>
  </si>
  <si>
    <t>2010200000</t>
  </si>
  <si>
    <t>2010102400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</si>
  <si>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</si>
  <si>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</si>
  <si>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</si>
  <si>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</si>
  <si>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</si>
  <si>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</si>
  <si>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</si>
  <si>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18201S2560</t>
  </si>
  <si>
    <t>1820100000</t>
  </si>
  <si>
    <t>18105S2560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</si>
  <si>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</si>
  <si>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</si>
  <si>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</si>
  <si>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</si>
  <si>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</si>
  <si>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</si>
  <si>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</si>
  <si>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</si>
  <si>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</si>
  <si>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</si>
  <si>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</si>
  <si>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17101S2300</t>
  </si>
  <si>
    <t>1710100000</t>
  </si>
  <si>
    <t>1710000000</t>
  </si>
  <si>
    <t>1700000000</t>
  </si>
  <si>
    <t>1600142110</t>
  </si>
  <si>
    <t>16</t>
  </si>
  <si>
    <t>15001S2671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</si>
  <si>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</si>
  <si>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</si>
  <si>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</si>
  <si>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</si>
  <si>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</si>
  <si>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</si>
  <si>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</si>
  <si>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</si>
  <si>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</si>
  <si>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14201S2591</t>
  </si>
  <si>
    <t>1420100000</t>
  </si>
  <si>
    <t>1420000000</t>
  </si>
  <si>
    <t>1410299990</t>
  </si>
  <si>
    <t>1410200000</t>
  </si>
  <si>
    <t>1410184280</t>
  </si>
  <si>
    <t>1410100000</t>
  </si>
  <si>
    <t>1410000000</t>
  </si>
  <si>
    <t>1400000000</t>
  </si>
  <si>
    <t>13301S2730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</si>
  <si>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</si>
  <si>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</si>
  <si>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</si>
  <si>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</si>
  <si>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</si>
  <si>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</si>
  <si>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</si>
  <si>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</si>
  <si>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</si>
  <si>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</si>
  <si>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</si>
  <si>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</si>
  <si>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</si>
  <si>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</si>
  <si>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113F36748S</t>
  </si>
  <si>
    <t>F3</t>
  </si>
  <si>
    <t>113F300000</t>
  </si>
  <si>
    <t>11303S2672</t>
  </si>
  <si>
    <t>1130300000</t>
  </si>
  <si>
    <t>11301S2661</t>
  </si>
  <si>
    <t>1130100000</t>
  </si>
  <si>
    <t>1130000000</t>
  </si>
  <si>
    <t>1120284220</t>
  </si>
  <si>
    <t>1120184310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</si>
  <si>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</si>
  <si>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</si>
  <si>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</si>
  <si>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</si>
  <si>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</si>
  <si>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</si>
  <si>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</si>
  <si>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1000102400</t>
  </si>
  <si>
    <t>1000100000</t>
  </si>
  <si>
    <t>1000000000</t>
  </si>
  <si>
    <t>09203S2110</t>
  </si>
  <si>
    <t>09</t>
  </si>
  <si>
    <t>0920300000</t>
  </si>
  <si>
    <t>09201S2110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</si>
  <si>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</si>
  <si>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</si>
  <si>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</si>
  <si>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</si>
  <si>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</si>
  <si>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</si>
  <si>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</si>
  <si>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</si>
  <si>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0800199990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</si>
  <si>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</si>
  <si>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</si>
  <si>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</si>
  <si>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</si>
  <si>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</si>
  <si>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</si>
  <si>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</si>
  <si>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</si>
  <si>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</si>
  <si>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</si>
  <si>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06103L4660</t>
  </si>
  <si>
    <t>0610300000</t>
  </si>
  <si>
    <t>0610299990</t>
  </si>
  <si>
    <t>06101S2520</t>
  </si>
  <si>
    <t>0610100000</t>
  </si>
  <si>
    <t>0610000000</t>
  </si>
  <si>
    <t>0600000000</t>
  </si>
  <si>
    <t>0520199990</t>
  </si>
  <si>
    <t>0510120901</t>
  </si>
  <si>
    <t>0510100000</t>
  </si>
  <si>
    <t>0500000000</t>
  </si>
  <si>
    <t>0430199990</t>
  </si>
  <si>
    <t>0420399990</t>
  </si>
  <si>
    <t>0420299990</t>
  </si>
  <si>
    <t>0420000000</t>
  </si>
  <si>
    <t>0410199990</t>
  </si>
  <si>
    <t>0410100000</t>
  </si>
  <si>
    <t>0400000000</t>
  </si>
  <si>
    <t>030I8S2380</t>
  </si>
  <si>
    <t>I8</t>
  </si>
  <si>
    <t>030I800000</t>
  </si>
  <si>
    <t>030I4S2380</t>
  </si>
  <si>
    <t>I4</t>
  </si>
  <si>
    <t>030I400000</t>
  </si>
  <si>
    <t>0300000000</t>
  </si>
  <si>
    <t>0200499990</t>
  </si>
  <si>
    <t>0200399990</t>
  </si>
  <si>
    <t>0200299990</t>
  </si>
  <si>
    <t>0200199990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</si>
  <si>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</si>
  <si>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</si>
  <si>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</si>
  <si>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</si>
  <si>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</si>
  <si>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</si>
  <si>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</si>
  <si>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</si>
  <si>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9</t>
  </si>
  <si>
    <t>8</t>
  </si>
  <si>
    <t>7</t>
  </si>
  <si>
    <t>6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</si>
  <si>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</si>
  <si>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</si>
  <si>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</si>
  <si>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</si>
  <si>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</si>
  <si>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</si>
  <si>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КЦСР xx.x.xx.ddddd</t>
  </si>
  <si>
    <t>Информация об изменении показателей объема бюджетных ассигнований на реализацию муниципальных программ и непрограммных направлений деятельности к первоначально утвержденным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</si>
  <si>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</si>
  <si>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</si>
  <si>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</si>
  <si>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приложение  2</t>
  </si>
  <si>
    <t>к пояснительной записке</t>
  </si>
  <si>
    <t>Решение Думы города Мегиона от 29.11.2019 №407 утверждённый бюджет)                                                      (тыс. рублей)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</si>
  <si>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</si>
  <si>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</si>
  <si>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</si>
  <si>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</si>
  <si>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</si>
  <si>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</si>
  <si>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</si>
  <si>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</si>
  <si>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</si>
  <si>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</si>
  <si>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</si>
  <si>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Региональный проект "Популяризация предпринимательства"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</si>
  <si>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</si>
  <si>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</si>
  <si>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</si>
  <si>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</si>
  <si>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</si>
  <si>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</si>
  <si>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</si>
  <si>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</si>
  <si>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</si>
  <si>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</si>
  <si>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</si>
  <si>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</si>
  <si>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</si>
  <si>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</si>
  <si>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</si>
  <si>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</si>
  <si>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</si>
  <si>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</si>
  <si>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</si>
  <si>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</si>
  <si>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</si>
  <si>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</si>
  <si>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</si>
  <si>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</si>
  <si>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</si>
  <si>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</si>
  <si>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</si>
  <si>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</si>
  <si>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</si>
  <si>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</si>
  <si>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</si>
  <si>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</si>
  <si>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</si>
  <si>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</si>
  <si>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</si>
  <si>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</si>
  <si>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</si>
  <si>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</si>
  <si>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</si>
  <si>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</si>
  <si>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</si>
  <si>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</si>
  <si>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</si>
  <si>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</si>
  <si>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</si>
  <si>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"Обеспечение единого порядка содержания объектов внешнего благоустройства (в том числе с применением инициативного бюджетирования)"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</si>
  <si>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</si>
  <si>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</si>
  <si>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</si>
  <si>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</si>
  <si>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</si>
  <si>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</si>
  <si>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</si>
  <si>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</si>
  <si>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</si>
  <si>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</si>
  <si>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</si>
  <si>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</si>
  <si>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</si>
  <si>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</si>
  <si>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</si>
  <si>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</si>
  <si>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</si>
  <si>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</si>
  <si>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</si>
  <si>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</si>
  <si>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</si>
  <si>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</si>
  <si>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 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</si>
  <si>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</si>
  <si>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</si>
  <si>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</si>
  <si>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</si>
  <si>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</si>
  <si>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</si>
  <si>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</si>
  <si>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</si>
  <si>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</si>
  <si>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Региональный прект "Современная школа"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</si>
  <si>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</si>
  <si>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</si>
  <si>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</si>
  <si>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</si>
  <si>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</si>
  <si>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</si>
  <si>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</si>
  <si>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</si>
  <si>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</si>
  <si>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</si>
  <si>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</si>
  <si>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</si>
  <si>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</si>
  <si>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</si>
  <si>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</si>
  <si>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</si>
  <si>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</si>
  <si>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</si>
  <si>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</si>
  <si>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</si>
  <si>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</si>
  <si>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</si>
  <si>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</si>
  <si>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</si>
  <si>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</si>
  <si>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</si>
  <si>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</si>
  <si>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</si>
  <si>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</si>
  <si>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</si>
  <si>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</si>
  <si>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Решение Думы города Мегиона от 27.03.2020 №431 утверждённый бюджет)                                                      (тыс. рублей)</t>
  </si>
  <si>
    <t>Проект с учетом внесенных изменений                   (тыс. рублей)</t>
  </si>
  <si>
    <t>(+) 100,0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(COVID-19).</t>
  </si>
  <si>
    <t>(+) 10 120,1 тыс. рублей – увеличен объем целевых межбюджетных трансфертов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 (средства автономного округа).</t>
  </si>
  <si>
    <t>Региональный проект "Цифровое государственное управление"</t>
  </si>
  <si>
    <t>D6</t>
  </si>
  <si>
    <t xml:space="preserve">(+) 500,0 тыс. рублей - увеличен объем бюджетных ассигнований по итогам конкурса «Лучший муниципалитет по цифровой трансформации» (средства бюджета автономного округа);            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</si>
  <si>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короновирусной инфекции"</t>
  </si>
  <si>
    <r>
      <t xml:space="preserve">(+) 150,0 тыс. рублей - увеличен объем бюджетных ассигнований на проведение турнира по боксу МАУ ДО"ДЮСШ "Вымпел") (средства резервного фонда Правительства Тюменской области- расп.№254-рп от 27.03.20);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1 584,5 тыс.рублей - уменьшен объем целевых межбюджетных трансфертов путем внутреннего перераспределения (средства автономного округа);                                                                                                                                          (+)  450,3 тыс. рублей -  увеличен объем целевых межбюджетных трансфертов на реализацию наказов избирателей (средства бюджета автономного округа).                                                     </t>
    </r>
    <r>
      <rPr>
        <sz val="8"/>
        <color rgb="FFFF0000"/>
        <rFont val="Arial"/>
        <family val="2"/>
        <charset val="204"/>
      </rPr>
      <t/>
    </r>
  </si>
  <si>
    <t xml:space="preserve">(-) 33,0 тыс. рублей -  уменьшен объем целевых межбюджетных трансфертов на реализацию наказов избирателей путем внутреннего перераспределения (средства бюджета автономного округа);                                                                                                                               (+) 510,0 тыс. рублей -  увеличен объем целевых межбюджетных трансфертов на реализацию наказов избирателей (средства бюджета автономного округа).    </t>
  </si>
  <si>
    <t>основное мероприятие "Расходы на поддержание санитарно-эпидемиологического благополучия населения"</t>
  </si>
  <si>
    <t>W0</t>
  </si>
  <si>
    <t>(+) 703,8 тыс.рублей - увеличен объем межбюджетных трансфертов на обеспечение санитарно-эпидемиологической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 (средства резервного фонда Правительства РФ)</t>
  </si>
  <si>
    <t xml:space="preserve">(+) 150,0 тыс. рублей - увеличен объем бюджетных ассигнований путем внутреннего перераспределения, с целью реализации мероприятий в области информатики (средства местного бюджета). </t>
  </si>
  <si>
    <t>(-) 124,6 тыс.рублей - уменьшен объем бюджетных ассигнований путем внутреннего перераспределения (средства местного бюджета).</t>
  </si>
  <si>
    <t>(+) 112,5 тыс. рублей - увеличен объем бюджетных ассигнований на оценку рыночной стоимости объекта (средства местного бюджета);                                                                                               (-) 182,7 тыс. рублей - уменьшен объем бюджетных ассигнований на финансовое обеспечение деятельности администрации (средства местного бюджета)</t>
  </si>
  <si>
    <t>(-) 21 260,0 тыс. рублей -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</t>
  </si>
  <si>
    <t>(+) 2 000,0 тыс. рублей - увеличен объем бюджетных ассигнований за счет дотации на обеспечение сбалансированности бюджетов городских округов и муниципальных районов автономного округа на финансовое обеспечение мероприятий, связанных с профилактикой и устранением последствий распространения новой коронавирусной инфекции (COVID-19), в том числе на поддержку в период режима повышенной готовности некоммерческих организаций, социальных предприятий, реализующих программы дошкольного образования, организаций, оказывающих услуги по организации питания в образовательных организациях, на обеспечение неработающих граждан в возрасте 65 лет и старше продуктовыми наборами</t>
  </si>
  <si>
    <t xml:space="preserve"> </t>
  </si>
  <si>
    <t>(+) 190,0 тыс. рублей - увеличен объем бюджетных ассигнований на разработку проектно-сметной документации для проведения ремонта муниципального нежилого помещения по ул.Новая, д.15, стр.13 (средства бюджета автономного округа, наказы избирателей);                                                                                                                        (-) 766,4 тыс. рублей - уменьшен объем бюджетных ассигнований с ремонта административных зданий  в целях оплаты кредиторской задолженности по подготовке объектов к новогодним мероприятиям -  750,3т.р., на реализацию муниципальной программы "Развитие гражданского общества" - 16,1т.р. (средства местного бюджета)</t>
  </si>
  <si>
    <t xml:space="preserve">(+) 852,7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624,7 тыс.рублей - уменьшен объем бюджетных ассигнований для реализации мероприятий по комплексной безопасности и комфортных условиях учреждений физической культуры и спорта,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1 872,5 тыс.рублей - уменьшен объем бюджетных ассигнований в целях устранения предписаний надзорных органов, путем внутреннего перераспределения (средства местного бюджета).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</si>
  <si>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1 584,5 тыс.рублей - увеличен объем целевых межбюджетных трансфертов путем внутреннего перераспределения (средства автономного округа).      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</si>
  <si>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</si>
  <si>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</si>
  <si>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</si>
  <si>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</si>
  <si>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</si>
  <si>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основное мероприятие "Обеспечение взаимодействия с политическими партиями, избирательными комиссиями, законодательными(представительными)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</si>
  <si>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 "Культурное пространство в городе Мегионе на 2019 -2025 годы"</t>
  </si>
  <si>
    <t>(-) 20,9 тыс. рублей - уменьшен объем бюджетных ассигнований за счет средств на капитальный ремонт и ремонт автомобильных дорог (средства местного бюджета)</t>
  </si>
  <si>
    <t>(+) 320,0 тыс. рублей - увеличен объем бюджетных ассигнований в целях обслуживания камер видеонаблюдения на улично-дорожной сети (средства местного бюджета)</t>
  </si>
  <si>
    <t xml:space="preserve">(+) 911,7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737,5 тыс.рублей- увеличен объем бюджетных ассигнований за счет внутреннего перераспределения, в связи с необходимостью оплаты исполнительного листа в ММАУ "Старт" (средства местного бюджета);                                                                                                             (+) 98,0  тыс. рублей - увеличен объем бюджетных ассигнований  на оплату налога на имущество           </t>
  </si>
  <si>
    <t>(+) 775,0 тыс. рублей – увеличен объем бюджетных ассигнований на инженерные сети к земельным участкам в 20 микрорайоне г.Мегион (ПИР), в том числе инженерное обеспечение земельного участка под объект "Школа (с бассейном) на 1600 мест в г.Мегион" (средства местного бюджета);                                                          (-) 1 000,0 тыс. рублей - уменьшен объем бюджетных ассигнований по обслуживанию и ремонту пожарных гидрантов (средства местного бюджета)</t>
  </si>
  <si>
    <t xml:space="preserve">(+) 375,0 тыс. рублей – увеличен объем бюджетных ассигнований на возмещение расходов организации за доставку населению сжиженного газа для бытовых нужд (средства бюджета автономного округа - 225,0т.р., средства местного бюджета - 150,0т.р.);                                                                                                                                 (-) 375,9 тыс. рублей – уменьшен объем бюджетных ассигнований по возмещению недополученных доходов организациям, осуществляющим реализацию сжиженного газа по социально ориентированным розничным ценам (средства бюджета автономного округа)                                                          </t>
  </si>
  <si>
    <r>
      <rPr>
        <sz val="8"/>
        <rFont val="Arial"/>
        <family val="2"/>
        <charset val="204"/>
      </rPr>
      <t xml:space="preserve">(-) 127,0 тыс.рублей - уменьшен объем бюджетных ассигнований в целях оплаты услуг по круглосуточной физической охране МБУ ДО "ДШИ им. А.М.Кузьмина, путем внутреннего перераспределения (средства местного бюджета).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</t>
    </r>
  </si>
  <si>
    <t>Муниципальная программа "Развитие физической культуры и спорта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</si>
  <si>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</si>
  <si>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</si>
  <si>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</si>
  <si>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(+) 115,8- увеличен объем бюджетных ассигнований на оплату услуг связи-каналы связи ЕДДС (местный бюджет)</t>
  </si>
  <si>
    <t>(-) 10,0 тыс.рублей-уменьшен объем бюджетных ассигнований по содержанию имущества (местный бюджет)</t>
  </si>
  <si>
    <t xml:space="preserve">(+) 2 756,2 тыс. рублей-  увеличен объем бюджетных ассигнований на санитарно-противоэпидемические (профилактические) мероприятия в жилом доме по адресу: ул.Заречная, д.15 и на финансовое обеспечение мероприятий, связанных с профилактикой и устранением последствий распространения новой коронавирусной инфекции (COVID-19) (развертывание обсерватора) (средства бюджета автономного округа);                                                                                                                                                                                (-) 105,8 тыс.рублей -уменьшин объем бюджетных ассигнований путем перераспределения (местный бюджет)
</t>
  </si>
  <si>
    <t>(-) 2,6 тыс. рублей - уменьшин объем бюджетных ассигнований путем перераспределения на реализацию муниципальной программы "Развитие гражданского общества" (средства местного бюджета)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</si>
  <si>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</si>
  <si>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(+) 47 041,8 тыс. рублей - увеличен объем бюджетных ассигнований за счет субсидии организациям коммунального комплекса в целях оплаты задолженности за потребленные топливно-энергетические ресурсы перед гарантирующими поставщиками (средства бюджета автономного округа)</t>
  </si>
  <si>
    <t>(-) 4,9 тыс. рублей  - уменьшен объем бюджетных ассигнований по ремонту муниципального жилого фонда (средства местного бюджета)</t>
  </si>
  <si>
    <t>(-) 2 183,7 тыс. рублей - уменьшение объема бюджетных ассигнований в целях реализации муниципальной программы "Развитие жилищной сферы на территории города Мегиона в 2019-2025 годы" (средства бюджета автономного округа - 2 030,8 т.р., средства местного бюджета - 152,9т.р.)</t>
  </si>
  <si>
    <t>(-) 314,2 тыс.рублей - уменьшен объем бюджетных ассигнований по осуществлению переданных полномочий РФ на государственную регистрацию актов гражданского состояния (средства федерального бюджета)</t>
  </si>
  <si>
    <t>(-) 165,2 тыс. рублей - уменьшен объем бюджетных ассигнований по  обеспечению деятельности администрации в целях выплаты пенсии муниципальным служащим (средства местного бюджета)</t>
  </si>
  <si>
    <t xml:space="preserve">(+) 4 008,2 тыс. рублей – увеличен объем бюджетных ассигнований на 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(в том числе 3 567,2 тыс.рублей - средства бюджета автономного округа и 440,9 тыс.рублей-средства местного бюджета)                                                                                                                                                                                                       </t>
  </si>
  <si>
    <t xml:space="preserve">(+) 18 713,0 тыс. рублей – увеличен объем бюджетных акссигнований на предоставление жилых помещении детям-сиротам и детям, оставшимся без попечения родителей (средства бюджета автономного округа)                                                                           </t>
  </si>
  <si>
    <t xml:space="preserve">(-) 74 418,0 тыс. рублей – уменьшен объем бюджетных ассигнований на обеспечение устойчивого сокращения непригодного для проживания жилищного фонда (переселение граждан из аварийного жилищного фонда) (из них:  (+) 3 119,3 тыс. рублей - средства Фонда содействию реформированию ЖКХ; (-) 81 244,7 тыс. рублей - средства бюджета автономного округа; (+) 3707,4) тыс.рублей -средства местного бюджета)  </t>
  </si>
  <si>
    <t>(-) 18 365,3 тыс. рублей – уменьшен объем бюджетных ассигнований по переселению граждан из не предназначенных для проживания строений, созданных в период промышленного освоения Сибири и Дальнего Востока (в том числе 17 081,0 тыс.рублей-средства бюджета автономного округа и 1 284,3 тыс. рублей - средства местного бюджета)</t>
  </si>
  <si>
    <t>(+) 2 183,7 тыс. рублей увеличен объем бюджетных ассигнований на комплекс мепроприятий по формированию земельных участков для индивидуального жилищного строительства (искусственное повышение рельефа (отсыпка) территории), из них:                                                                                                                                  2 030,8 тыс. рублей - средства бюджета автономного округа,                                                                                                                                                                                                                                     152,9 тыс. рублей - средства местного бюджета</t>
  </si>
  <si>
    <t>(+) 448 805,1 тыс. рублей – увеличен объем бюджетных ассигнований на реализацию полномочий в области жилищных отношений ( в том числе 417 388,6 тыс.рублей - средства бюджета автономного округа, 31 416,5 тыс.рублей средства местного бюджета);                                                                                                                                           (-) 1 546,8 тыс. рублей - уменьшен объем бюджетных ассигнований по выкупу жилых помещений, в связи с изъятием земельного участка в целях сноса аварийного жилого фонда (средства местного бюджета)(+) 2 183,7 тыс. рублей увеличен объем бюджетных ассигнований на комплекс мепроприятий по формированию земельных участков для индивидуального жилищного строительства (искусственное повышение рельефа (отсыпка) территории), из них:                                                                                                                                  2 030,8 тыс. рублей - средства бюджета автономного округа,                                                                                                                                                                                                                                     152,9 тыс. рублей - средства местного бюджета</t>
  </si>
  <si>
    <t>(+) 32 793,1 тыс. рублей - увеличен объем бюджетных ассигнований на содержание и текущий ремонт автомобильных дорог, проездов и элементов обустройства (средства местного бюджета)</t>
  </si>
  <si>
    <t>(+) 3 071,9 тыс. рублей –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(санитарная обработка)</t>
  </si>
  <si>
    <t>(-) 703,5 тыс. рублей – уменьшен объем бюджетных ассигнований по оснащению узлами автоматического погодного регулирования и приборами учета  муниципального имущества (средства местного бюджета)</t>
  </si>
  <si>
    <t>(+) 1225,1 тыс.рублей-увеличен объем бюджетных ассигнований на обеспечение деятельности департамента образования и молодежной политики путем внутреннего перераспределения  (средства местного бюджета)</t>
  </si>
  <si>
    <t>(+) 1 000,0 тыс. рублей - увеличен объем бюджетных ассигнований на возмещение недополученных доходов по вывозу жидких бытовых отходов (откачка септиков) (средства местного бюджета)</t>
  </si>
  <si>
    <t>основное мероприятие "Повышение уровня благоустройства и комфорта дворовых территорий в условиях сложившейся застройки"</t>
  </si>
  <si>
    <t>(+) 365,5 тыс. рублей - увеличен объем бюджетных ассигнований на ремонт тротуара вдоль жилого дома по ул.Заречная 15/1 г.Мегион (средства местного бюджета)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</si>
  <si>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</si>
  <si>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</si>
  <si>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</si>
  <si>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</si>
  <si>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</si>
  <si>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</si>
  <si>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</si>
  <si>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</si>
  <si>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</si>
  <si>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 xml:space="preserve">(+) 1 500,0 тыс. рублей - увеличен объем бюджетных ассигнований на строительство объекта "Аллея трудовой Славы" (средства бюджета автономного округа наказы избирателей)  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</si>
  <si>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</si>
  <si>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r>
      <t xml:space="preserve">основное мероприятие "Совершенствование системы оповещения населения </t>
    </r>
    <r>
      <rPr>
        <sz val="8"/>
        <color rgb="FFFF0000"/>
        <rFont val="Arial"/>
        <family val="2"/>
        <charset val="204"/>
      </rPr>
      <t>городского округа"</t>
    </r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</si>
  <si>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</si>
  <si>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</si>
  <si>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</si>
  <si>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</si>
  <si>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</si>
  <si>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</si>
  <si>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</si>
  <si>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</si>
  <si>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</si>
  <si>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</si>
  <si>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r>
      <rPr>
        <sz val="8"/>
        <rFont val="Arial"/>
        <family val="2"/>
        <charset val="204"/>
      </rPr>
      <t xml:space="preserve">(+) 400,0 тыс. рублей -  увеличен объем целевых межбюджетных трансфертов на реализацию наказов избирателей (средства бюджета автономного округа);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(-) 462,1 тыс.рублей - уменьшен объем бюджетных ассигнований в целях заключения контракта на проведение ремонтных работ в МБУ "ЦБС",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589,5 тыс.рублей -  уменьшен объем бюджетных ассигнований в целях проведения корректировки проектно-сметной документации по реконструкции школы искусств в пгт.Высокий, путем внутреннего перераспределения (средства местного бюджета).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</si>
  <si>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(+) 308,7,0 тыс .рублей - увеличен объем бюджетных ассигнований на оплату административного штрафа (средства местного бюджета);                                                                                        (+) 56,6 тыс. рублей - увеличен объем бюджетных ассигнований на ремонт автомобиля по ДТП (средства местного бюджета)                             </t>
  </si>
  <si>
    <t>(+) 1 716,9 тыс. рублей - увеличен объем бюджетных ассигнований на обеспечение деятельности  МКУ МФЦ (в том числе 894,0 тыс.рублей-средства бюджета автономного округа и 822,9 тыс.рублей средства местного бюджета);                                                                                                                                                                                           (-) 652,9 тыс. рублей - уменьшен объем бюджетных ассигнований для реализации комплекса организационных и технических мер защиты информационных систем в рамках муниципальной программы «Развитие информационного общества на территории городского округа город Мегион на 2019-2025 горды» (средства местного бюджета).</t>
  </si>
  <si>
    <t>(-) 1 597,7 - уменьшение объема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Мегион";                                                                                                       (+) 508,6 тыс. рублей - увеличен объем бюджетных ассигнований, путем перераспределения, на проведение мероприятий по подготовке учреждений образования к осенне-зимнему периоду и мероприятий, направленных на антитеррористическую защищенность объектов в сфере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529,8 тыс. рублей - уменьшен объем бюджетных ассигнований, путем перераспределения на благоустройство объекта «Городская площадь в пгт.Высокий муниципального образования городской округ г.Мегион (устройство спортивной площадки «Workout»)</t>
  </si>
  <si>
    <t xml:space="preserve">(+) 149,6 тыс.рублей -увеличен объем бюджетных ассигнований с целью оплаты услуг территориальных общественных самоуправлений (ТОС) (средства местного бюджета).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</si>
  <si>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149,6 тыс.рублей -увеличен объем бюджетных ассигнований с целью оплаты услуг территориальных общественных самоуправлений (ТОС) (средства местного бюджета).                             </t>
  </si>
  <si>
    <t xml:space="preserve">(-) 124,6 тыс.рублей - уменьшен объем бюджетных ассигнований путем внутреннего перераспределенияс для оплаты услуг территориальных общественных самоуправлений (ТОС) (средства местного бюджета).                         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</si>
  <si>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</si>
  <si>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(-) 165,2 тыс. рублей - уменьшен объем бюджетных ассигнований по  обеспечению деятельности администрации в целях выплаты муниципальным служащим единовременного пособия при уходе на пенсию по старости  (средства местного бюджета);                                                                                                                                                    (-) 314,2 тыс.рублей - уменьшен объем бюджетных ассигнований по осуществлению переданных полномочий РФ на государственную регистрацию актов гражданского состояния (средства федерального бюджета)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</si>
  <si>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</si>
  <si>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</si>
  <si>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</si>
  <si>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</si>
  <si>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</si>
  <si>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</si>
  <si>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</si>
  <si>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</si>
  <si>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</si>
  <si>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(+) 448 805,1 тыс. рублей – увеличен объем бюджетных ассигнований на реализацию полномочий в области жилищных отношений ( в том числе 417 388,6 тыс.рублей - средства бюджета автономного округа, 31 416,5 тыс.рублей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1 546,8 тыс. рублей - уменьшен объем бюджетных ассигнований по выкупу жилых помещений, в связи с изъятием земельного участка в целях сноса аварийного жилого фонда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2 183,7 тыс. рублей увеличен объем бюджетных ассигнований на комплекс мепроприятий по формированию земельных участков для индивидуального жилищного строительства (искусственное повышение рельефа (отсыпка) территории) (в том числе 2 030,8 тыс. рублей - средства бюджета автономного округа, 152,9 тыс. рублей - средства местного бюджета;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74 418,0 тыс. рублей – уменьшен объем бюджетных ассигнований на обеспечение устойчивого сокращения непригодного для проживания жилищного фонда (переселение граждан из аварийного жилищного фонда) ( в том числе:                                                                               (+) 3 119,3 тыс. рублей - средства Фонда содействию реформированию ЖКХ; (-) 81 244,7 тыс. рублей - средства бюджета автономного округа; (+) 3707,4) тыс.рублей -средства местного бюджета)  </t>
  </si>
  <si>
    <t>(-) 2,6 тыс. рублей - уменьшен объем бюджетных ассигнований путем перераспределения на реализацию муниципальной программы "Развитие гражданского общества" (средства местного бюджета)</t>
  </si>
  <si>
    <t>(-) 2 183,7 тыс. рублей - уменьшен объем бюджетных ассигнований в целях реализации муниципальной программы "Развитие жилищной сферы на территории города Мегиона в 2019-2025 годы" (средства бюджета автономного округа - 2 030,8 т.р., средства местного бюджета - 152,9т.р.)</t>
  </si>
  <si>
    <t>(-) 120,2 тыс. рублей -  уменьшен объем бюджетных ассигнований, путем перераспределения на благоустройство объекта «Городская площадь в пгт.Высокий муниципального образования городской округ г.Мегион (устройство спортивной площадки «Workout»);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75,3 тыс.рублей - уменьшен объем бюджетных ассигнований, путем перераспределения, на выполнение работ по сносу гаражей, сараев, балков, ветхих (аварийных) жилых домов (средства местного бюджета);                                                                                                                                                                       (-) 2,9 тыс.рублей - уменьшен объем бюджетных ассигнований с целью оплаты услуг территориальных общественных самоуправлений (ТОС) (средства местного бюджета);                                                                                                                                                                                             (+) 624,7 тыс.рублей - увеличен объем бюджетных ассигнований для реализации мероприятий по комплексной безопасности и комфортных условиях учреждений физической культуры и спорта,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1 872,5 тыс.рублей - увеличен объем бюджетных ассигнований в целях устранения предписаний надзорных органов, путем внутреннего перераспределения (средства местного бюджета).</t>
  </si>
  <si>
    <t xml:space="preserve">(+) 852,7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120,2 тыс. рублей -  уменьшен объем бюджетных ассигнований, путем перераспределения на благоустройство объекта «Городская площадь в пгт.Высокий муниципального образования городской округ г.Мегион (устройство спортивной площадки «Workout»);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75,3 тыс.рублей - уменьшен объем бюджетных ассигнований, путем перераспределения, на выполнение работ по сносу гаражей, сараев, балков, ветхих (аварийных) жилых домов (средства местного бюджета);                                                                                                                                                      (-) 2,9 тыс.рублей - уменьшен объем бюджетных ассигнований с целью оплаты услуг территориальных общественных самоуправлений (ТОС) (средства местного бюджета).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</si>
  <si>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150,0 тыс. рублей - увеличен объем бюджетных ассигнований на проведение турнира по боксу МАУ ДО"ДЮСШ "Вымпел") (средства резервного фонда Правительства Тюменской области- расп.№254-рп от 27.03.20);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450,3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округа).            </t>
  </si>
  <si>
    <r>
      <rPr>
        <sz val="8"/>
        <rFont val="Arial"/>
        <family val="2"/>
        <charset val="204"/>
      </rPr>
      <t xml:space="preserve">(+) 400,0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 (средства бюджета автономного округа);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(-) 127,0 тыс.рублей - уменьшен объем бюджетных ассигнований в целях оплаты услуг по круглосуточной физической охране МБУ ДО "ДШИ им. А.М.Кузьмина, путем внутреннего перераспределения (средства местного бюджета).                                                                                                                                                                                                                                      (-) 462,1 тыс.рублей - уменьшен объем бюджетных ассигнований в целях заключения контракта на проведение ремонтных работ в МБУ "ЦБС",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589,5 тыс.рублей -  уменьшен объем бюджетных ассигнований в целях проведения корректировки проектно-сметной документации по реконструкции школы искусств в пгт.Высокий, путем внутреннего перераспределения (средства местного бюджета).                                                   </t>
    </r>
  </si>
  <si>
    <t xml:space="preserve">(+) 3 071,9 тыс. рублей –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(санитарная обработка);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3 011,9 тыс. рублей – увеличен объем бюджетных ассигнований на снос аварийного жилищного фонда за счет дотации из бюджета автономного округа на поощрение городских округов ХМАО-Югры за развитие практик инициативного бюджетирования;                                                                                                                                                                                                                                                                                                                                                                                                                                                                                                                  (+)7 135,9 тыс.рублей - увеличен объем бюджетных ассигнований за счет средств местного бюджета, в т.ч: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2 037,9 тыс. рублей – увеличен объем бюджетных ассигнований на подготовку объектов к новогодним мероприятиям,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тыс. рублей -откачка септиков,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тыс. рублей - обслуживание уличного освещения,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3 000,0 тыс. рублей - потребление электроэнергии,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287,6 тыс. рублей – содержание кладбища,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99,2 тыс. рублей - ремонт и содержание скверов, площадей,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286,4 тыс. рублей – увеличен объем бюджетных ассигнований на снос гаражей, сараев, ветхих строений </t>
  </si>
  <si>
    <t xml:space="preserve">(+) 493,1 тыс. рублей - увеличен объем бюджетных ассигнований на благоустройство объекта "Городская площадь в пгт.Высокий муниципального образования городской округ г.Мегион" (средства местного бюджета)                                                                                    </t>
  </si>
  <si>
    <t xml:space="preserve">(+) 1 500,0 тыс. рублей - увеличен объем бюджетных ассигнований на строительство объекта "Аллея трудовой Славы" (средства бюджета автономного округа наказы избирателей);                                                                                                                                                                       (+) 493,1 тыс. рублей - увеличен объем бюджетных ассигнований на благоустройство объекта "Городская площадь в пгт.Высокий муниципального образования городской округ г.Мегион" (средства местного бюджета)                                                                                    </t>
  </si>
  <si>
    <t xml:space="preserve">(+) 3 011,9 тыс. рублей – увеличен объем бюджетных ассигнований на снос аварийного жилищного фонда за счет дотации из бюджета автономного округа на поощрение городских округов ХМАО-Югры за развитие практик инициативного бюджетирования;                                                                                                                                                                                                                                                                                                                                                                                                                                                                                                                  (+)7 135,9 тыс.рублей - увеличен объем бюджетных ассигнований за счет средств местного бюджета, в т.ч: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2 037,9 тыс. рублей – увеличен объем бюджетных ассигнований на подготовку объектов к новогодним мероприятиям,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тыс. рублей-откачка септиков,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обслуживание уличного освещения,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3 000,0 потребление электроэнергии,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287,6 тыс. рублей – содержание кладбища,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99,2 тыс. рублей - ремонт и содержание скверов, площадей,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286,4 тыс. рублей – увеличен объем бюджетных ассигнований на снос гаражей, сараев, ветхих строений </t>
  </si>
  <si>
    <t>(-) 703,5 тыс. рублей – уменьшен объем бюджетных ассигнований по оснащению узлами автоматического погодного регулирования и приборами учета муниципального имущества (средства местного бюджета)</t>
  </si>
  <si>
    <t xml:space="preserve">(+) 500,0 тыс. рублей - увеличен объем бюджетных ассигнований на приобретение в муниципальную собственность сервера МБУ «МЦИКТ «Вектор» (средства резервного фонда Правительства Тюменской области- расп. № 296-рп от 06.04.2020);                                                                                         (+) 652,9 тыс.рублей - увеличен объем бюджетных ассигнований  путем внутреннего перераспределения, с целью реализации мероприятий в области информатики (средства местного бюджета).                                      </t>
  </si>
  <si>
    <t xml:space="preserve"> (+) 100,0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500,0 тыс. рублей - увеличен объем бюджетных ассигнований на приобретение в муниципальную собственность сервера МБУ «МЦИКТ «Вектор» (средства резервного фонда Правительства Тюменской области- расп. № 296-рп от 06.04.2020);                                                                                         (+) 802,9 тыс.рублей - увеличен объем бюджетных ассигнований  путем внутреннего перераспределения, с целью реализации мероприятий в области информатики (средства местного бюджета);                                                                                                                                                                        (+) 500,0 тыс. рублей - увеличен объем целевых межбюджетных трансфертов по итогам проведенного конкурса «Лучший муниципалитет по цифровой трансформации» (средства бюджета автономного округа);                                                  </t>
  </si>
  <si>
    <t>(+) 10 120,1 тыс. рублей – увеличен объем целевых межбюджетных трансфертов 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1 597,7 - уменьшение объема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Мегион";                                                                                                       (+) 508,5 тыс. рублей - увеличен объем бюджетных ассигнований, путем перераспределения, на проведение мероприятий по подготовке учреждений образования к осенне-зимнему периоду и мероприятий, направленных на антитеррористическую защищенность объектов в сфере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529,8 тыс. рублей - уменьшен объем бюджетных ассигнований, путем перераспределения на благоустройство объекта «Городская площадь в пгт.Высокий муниципального образования городской округ г.Мегион (устройство спортивной площадки «Workout»).</t>
  </si>
  <si>
    <t>(+) 11 047,5 тыс. рублей - увеличен объем целевых межбюджетных трансфертов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бюджета автономного округа);
(+) 2 820,7 тыс. рублей - увеличен объем целевых межбюджетных трансфертов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бюджета);
(+) 2 820,8 тыс. рублей - увеличен объем целевых межбюджетных трансфертов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(средства бюджета автономного округа); 
(+) 3248,7 тыс. рублей – увеличен объем целевых межбюджетных трансфертов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(средства бюджета автономного округа);                                                                                                                                                                       (-) 865,2 тыс. рублей - уменьшен объем бюджетных ассигнований путем перераспределения</t>
  </si>
  <si>
    <t>(-) 646,6 тыс. рублей - уменьшен объем бюджетных ассигнований по осуществлению расходов на содержание муниципального имущества (средства местного бюджета)</t>
  </si>
  <si>
    <t xml:space="preserve">(+) 47 041,8 тыс. рублей - увеличен объем бюджетных ассигнований для предоставления субсидии организациям коммунального комплекса на оплату задолженности за потребленные топливно-энергетические ресурсы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774,1 тыс. рублей – увеличен объем бюджетных ассигнований на инженерные сети к земельным участкам в 20 микрорайоне г.Мегион (ПИР), в том числе инженерное обеспечение земельного участка под объект "Школа (с бассейном) на 1600 мест в г.Мегион"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</si>
  <si>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1 716,9 тыс. рублей - увеличен объем бюджетных ассигнований на обеспечение деятельности  МКУ МФЦ (в том числе 894,0 тыс.рублей-средства бюджета автономного округа и 822,9 тыс.рублей средства местного бюджета);                                                                                                                                                                                           (-) 652,9 тыс. рублей - уменьшен объем бюджетных ассигнований для реализации комплекса организационных и технических мер защиты информационных систем в рамках муниципальной программы «Развитие информационного общества на территории городского округа город Мегион на 2019-2025 горды» (средства местного бюджета)</t>
  </si>
  <si>
    <r>
      <t>(+) 9 957,8 тыс. рублей -</t>
    </r>
    <r>
      <rPr>
        <b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увеличен объем целевых межбюджетных трансфертов на  реализацию мероприятий по содействию трудоустройству граждан (средства бюджета автономного округа);                                                                                                                                                (-)  25,8 тыс. рублей - уменьшен объем целевых межбюджетных трансфертов на сопровождение инвалидов, включая инвалидов молодого возраста, при трудоустройстве (средства бюджета автономного округа);                                                                                                                     (+) 8 786,6 тыс. рублей - увеличен объем целевых межбюджетных трансфертов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  </r>
  </si>
  <si>
    <t xml:space="preserve">(-) 4 992,3 тыс. рублей – уменьшен объем бюджетных ассигнований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в палаточных лагерях, в возрасте от 14 до 17 лет (включительно) - в лагерях труда и отдыха с дневным пребыванием детей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(-) 14 158,2 тыс. рублей – уменьшен объем бюджетных ассигнований за счет субвенции на организацию и обеспечение отдыха и оздоровления детей, в том числе в этнической среде(средства бюджета автономного округа).                                                                                 (+) 1 500,0 тыс. рублей - увеличен объем бюджетных ассигнований на проведение олимпиады школьников, конкурса профессионального мастерства "Педагог года г.Мегион-2020" (средства местного бюджета);                                                                                                                             (-) 1 100,1 тыс. рублей -  уменьшен объем бюджетных ассигнований, путем перераспределения, на выплату заработной платы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(-) 1 755,2 тыс. рублей - уменьшен объем бюджетных ассигнований, путем перераспределения,   для заключения контрактов на оказание круглосуточной охраны  (средства местного бюджета);                                                                                                                                             (-) 1 225,1 тыс.рублей - уменьшен объем бюджетных ассигнований на обеспечение деятельности департамента образования и молодежной политики путем внутреннего перераспределения  (средства местного бюджета);                                                                                         (-) 601,6 тыс. рублей -     уменьшен объем бюджетных ассигнований, путем перераспределения, на обеспечения деятельности Территориальной психолого-медико-педагогической комиссии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</si>
  <si>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</si>
  <si>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r>
      <rPr>
        <sz val="8"/>
        <rFont val="Arial"/>
        <family val="2"/>
        <charset val="204"/>
      </rPr>
      <t xml:space="preserve">(+) 33,0 тыс. рублей -  увеличен объем целевых межбюджетных трансфертов на реализацию наказов избирателей путем внутреннего перераспределения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180,0 тыс. рублей -  увеличен объем целевых межбюджетных трансфертов на реализацию наказов избирателей (средства бюджета автономного округа);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(+) 393,6 тыс.рублей - увеличен объем бюджетных ассигнований для проведение ремонтных работ в МБУ "ЦБС" (средства местного бюджета);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(-) 1 542,1 тыс.рублей - уменьшен объем бюджетных ассигнований, путем перераспределения, на выполнение работ по сносу гаражей, сараев, балков, ветхих (аварийных) жилых домов (средства местного бюджета);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(-) 286,9 тыс. рублей- уменьшен объем бюджетных ассигнований в целях обеспечения доли софинансирования целевых межбюджетных трансфертов на осуществление неотложных мер поддержки субъектов малого и среднего предпинимательства, осуществляющих деятельность в отраслях, пострадавших от распространения коронавирусной инфекциипутем внутреннего перераспределения (средства местного бюджета);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(+) 504,0 тыс.рублей - увеличен объем бюджетных ассигнований для проведения ремонтных работ в   МБУ ДО "ДШИ им. А.М.Кузьмина (п.Высокий);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(+) 43,0 тыс.рублей - увеличен объем бюджетных ассигнований для реализации мероприятий в области культуры, путем внутреннего перераспределения (средства местного бюджета);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(+) 31,4 тыс.рублей - увеличен объем бюджетных ассигнований для реализации мероприятий для подготовки учреждений культуры к осенне-зимнему периоду, путем внутреннего перераспределения (средства местного бюджета);                                                         (-) 66,1 тыс.рублей - уменьшен объем бюджетных ассигнований для выплаты заработной платы  МАУ "Дворец искусств" (средства местного бюджета);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</t>
    </r>
  </si>
  <si>
    <r>
      <t xml:space="preserve">(+) 500,0 тыс. рублей - увеличен объем бюджетных ассигнований на приобретение системных блоков и мониторов для МАУ "РИКиЭЦ"  (средства резервного фонда Правительства Тюменской области- расп. №226-рп от 19.03.2020);                                                                                                                                                    (+) 2 307,5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21.05.2020 №995);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(+) 485,8 тыс.рублей - увеличен объем бюджетных ассигнований в целях оплаты услуг по круглосуточной физической охране МБУ ДО "ДШИ им. А.М.Кузьмина, путем внутреннего перераспределения (средства местного бюджета);         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43,0 тыс.рублей - уменьшен объем бюджетных ассигнований в целях реализации мероприятий в области культуры, путем внутреннего перераспределения (средства местного бюджета);                                                                                                                                                  (-) 77,2 тыс.рублей - уменьшен объем бюджетных ассигнований для проведение ремонтных работ в МБУ "ЦБС",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(-) 31,4 тыс.рублей - уменьшен объем бюджетных ассигнований для реализации мероприятий для подготовки учреждений культуры к осенне-зимнему периоду, путем внутреннего перераспределения (средства местного бюджета);                                                                                                                                                   (-) 127,6 тыс.рублей - уменьшен объем бюджетных ассигнований для проведения ремонтных работ в   МБУ ДО "ДШИ им. А.М.Кузьмина;                                                                                                                                                                                                                                                                      (+) 1 170,0 тыс. рублей - увеличен объем бюджетных ассигнований для оплаты налогов на землю и на имущество  МАУ "Дворец искусств";                                                                                                                                                                                                                                                                 (+) 66,1 тыс.рублей - увеличен объем бюджетных ассигнований для выплаты заработной платы  МАУ "Дворец искусств" (средства местного бюджета).                                     </t>
    </r>
  </si>
  <si>
    <r>
      <t xml:space="preserve">(+) 500,0 тыс. рублей - увеличен объем бюджетных ассигнований на приобретение системных блоков и мониторов для МАУ "РИКиЭЦ"  (средства резервного фонда Правительства Тюменской области- расп. №226-рп от 19.03.2020);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(+) 2 307,5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 (Постановление администрации города Мегиона от 21.05.2020 №995);                                  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(+) 485,8 тыс.рублей - увеличен объем бюджетных ассигнований в целях оплаты услуг по круглосуточной физической охране МБУ ДО "ДШИ им. А.М.Кузьмина,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43,0 тыс.рублей - уменьшен объем бюджетных ассигнований в целях реализации мероприятий в области культуры,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(-) 77,2 тыс.рублей - уменьшен объем бюджетных ассигнований для проведение ремонтных работ в МБУ "ЦБС",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(-) 31,4 тыс.рублей - уменьшен объем бюджетных ассигнований для реализации мероприятий для подготовки учреждений культуры к осенне-зимнему периоду, путем внутреннего перераспределения (средства местного бюджета);                                                                                                                                                   (-) 127,6 тыс.рублей - уменьшен объем бюджетных ассигнований для проведения ремонтных работ в   МБУ ДО "ДШИ им. А.М.Кузьмина;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(+) 1 170,0 тыс. рублей - увеличен объем бюджетных ассигнований для оплаты земельного налога и налога на имущество  МАУ "Дворец искусств";                                                                                                                                                                                                                                                (+) 66,1 тыс.рублей - увеличен объем бюджетных ассигнований для выплаты заработной платы работникам  МАУ "Дворец искусств" (средства местного бюджета).                      </t>
    </r>
    <r>
      <rPr>
        <sz val="8"/>
        <color rgb="FFFF0000"/>
        <rFont val="Arial"/>
        <family val="2"/>
        <charset val="204"/>
      </rPr>
      <t xml:space="preserve">                           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/>
    </r>
  </si>
  <si>
    <t>(-) 683,5 тыс. рублей - уменьшен объем бюджетных ассигнований по обеспечению деятельности МКУ ЦБ (средства местного бюджета)</t>
  </si>
  <si>
    <t>(+) 666,6 тыс. рублей –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(-) 49,3 тыс. рублей - уменьшен объем бюджетных ассигнований по обеспечению деятельности МКУ "Служба обеспечения" (средства местного бюджета)</t>
  </si>
  <si>
    <t>(+) 666,6 тыс. рублей –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               (-)367,5 тыс. рублей - уменьшен объем бюджетных ассигнований по обеспечению деятельности  МКУ "Централизованная бухгалтерия" (средства местного бюджета)</t>
  </si>
  <si>
    <t xml:space="preserve">(+) 2 756,2 тыс. рублей-  увеличен объем бюджетных ассигнований на санитарно-противоэпидемические (профилактические) мероприятия в жилом доме по адресу: ул.Заречная, д.15 и на финансовое обеспечение мероприятий, связанных с профилактикой и устранением последствий распространения новой коронавирусной инфекции (COVID-19) (развертывание обсерватора) (средства бюджета автономного округа);                                                                                                                                                                                (-) 105,8 тыс.рублей -уменьшен объем бюджетных ассигнований путем внутреннего перераспределения на оплату услуг связи (каналы связи ЕДДС) (местный бюджет)
</t>
  </si>
  <si>
    <t xml:space="preserve">(+) 1 300,0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(COVID-19)(обеспечение неработающих граждан в возрасте 65 лет и старше, а также отдельных категорий граждан продуктовыми наборами);                                                                                                                                                                                                                                                                                                                      (+)3 399,2 тыс.рублей-уеличен объем бюджетных ассигнований за счет средств местного бюджета,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1782,2 тыс.рублей-на выплату доплат к  пенсии муниципальных служащих,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1 617,0 тыс. рублей - увеличен объем бюджетных ассигнований в целях исполнения исполнительного листа на выплату компенсации за изымаемое жилое помещение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</si>
  <si>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  <charset val="204"/>
      </rPr>
      <t xml:space="preserve">(+) 690,0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округа)(средства бюджета автономного округа);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(+) 393,6 тыс.рублей - увеличен объем бюджетных ассигнований для проведение ремонтных работ в МБУ "ЦБС" (средства местного бюджета);    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(-) 1 542,1 тыс.рублей - уменьшен объем бюджетных ассигнований, путем перераспределения, на выполнение работ по сносу гаражей, сараев, балков, ветхих (аварийных) жилых домов (средства местного бюджета);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(-) 286,9 тыс. рублей- уменьшен объем бюджетных ассигнований в целях обеспечения доли софинансирования целевых межбюджетных трансфертов на осуществление неотложных мер поддержки субъектов малого и среднего предпинимательства, осуществляющих деятельность в отраслях, пострадавших от распространения коронавирусной инфекциипутем внутреннего перераспределения (средства местного бюджета);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(+) 504,0 тыс.рублей - увеличен объем бюджетных ассигнований для проведения ремонтных работ в   МБУ ДО "ДШИ им. А.М.Кузьмина (п.Высокий);                                                                                                                                                                                                                                             (+) 43,0 тыс.рублей - увеличен объем бюджетных ассигнований для реализации мероприятий в области культуры,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31,4 тыс.рублей - увеличен объем бюджетных ассигнований для реализации мероприятий для подготовки учреждений культуры к осенне-зимнему периоду, путем внутреннего перераспределения (средства местного бюджета);                                                                            (-) 66,1 тыс.рублей - уменьшен объем бюджетных ассигнований для выплаты заработной платы работникам МАУ "Дворец искусств" (средства местного бюджета);         </t>
    </r>
  </si>
  <si>
    <t xml:space="preserve">(+) 15 519,8 тыс. рублей – увеличен объем целевых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28 530,5 тыс. рублей – увеличен объем целевых межбюджетных трансфертов единой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(-) 21 260,0 тыс. рублей -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743,6 тыс. рублей - увеличен объем бюджетных ассигнований на  благоустройство территории, а также монтаж и приобретение уличных антивандальных тренажеров в муниципальную собственность для МАОУ "СОШ №2" (средства резервного фонда Правительства Тюменской области -расп. от 20.02.20 №133-рп);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692,0 тыс. рублей - увеличен объем бюджетных ассигнований на организацию и проведение семинара "Доступная реабилитация", приобретение наборов резиновых амортизаторов и манжет в муниципальную собственность для МАДОУ №15 "Югорка" (средства резервного фонда Правительства Тюменской области - расп. от 11.03.2020 №185-рп);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1 725,1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5 319,3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737,5 тыс. рублей - уменьшен объем бюджетных ассигнований на оплату исполнительного листа ММАУ "Старт"за счет внутреннего перерапределения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(+)  8 713,0 тыс. рублей - увеличен объем бюджетных ассигнований муниципальным учреждениям образования на оплату налога на имущество и земельного налога;                                                                                                                                                                                                             (+) 1 100,1 тыс. рублей -  увеличен объем бюджетных ассигнований на выплату заработной платы и начисления на оплату труда путем перераспределения;                                                                                                                                                                                                                                  (+) 2 620,4 тыс. рублей - увеличен объем бюджетных ассигнований, путем перераспределения,   для заключения контрактов на оказание круглосуточной охраны;                                                                                                                                                                                                                 (-) 478,8 тыс. рублей - уменьшен объем бюджетных ассигнований, путем перераспределения, на проведение мероприятий по подготовке учреждений образования к осенне-зимнему периоду и мероприятий, направленных на антитеррористическую защищенность объектов в сфере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</si>
  <si>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1 300,0 тыс. рублей - увеличен объем бюджетных ассигнований на проведение олимпиады школьников, конкурса профессионального мастерства "Педагого года г.Мегион-2020";                                                                                                                                                                                   (+) 200,0 тыс. рублей -  увеличен объем бюджетных ассигнований на обеспечения деятельности Территориальной психолого-медико-педагогической комиссии </t>
  </si>
  <si>
    <t xml:space="preserve">(-) 4 992,3 тыс. рублей – уменьшен объем бюджетных ассигнований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в палаточных лагерях, в возрасте от 14 до 17 лет (включительно) - в лагерях труда и отдыха с дневным пребыванием детей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(-) 14 158,2 тыс. рублей – уменьшен объем бюджетных ассигнований за счет субвенции на организацию и обеспечение отдыха и оздоровления детей, в том числе в этнической среде(средства бюджета автономного округа);                                                                                                                   (-) 1 300,0 тыс. рублей - уменьшен объем бюджетных ассигнований на проведение олимпиады школьников, конкурса профессионального мастерства "Педагог года г.Мегион-2020" (средства местного бюджета);                                                                                                                                             (-) 1 100,1 тыс. рублей -  уменьшен объем бюджетных ассигнований, путем перераспределения, на выплату заработной платы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(-) 1 755,2 тыс. рублей - уменьшен объем бюджетных ассигнований, путем перераспределения,   для заключения контрактов на оказание круглосуточной охраны  (средства местного бюджета);                                                                                                                                             (-) 1 225,1 тыс.рублей - уменьшен объем бюджетных ассигнований на обеспечение деятельности департамента образования и молодежной политики путем внутреннего перераспределения  (средства местного бюджета);                                                                                   (-) 29,7 тыс. рублей -    уменьшен объем бюджетных ассигнований, путем перераспределения, на проведение мероприятий в области образования (средства местного бюджета);                                                                                                                                                                                      (+) 911,7 тыс. рублей - увеличен объем бюджетных ассигнований за счет дотации на обеспечение сбалансированности бюджетов городских округов на финансовое обеспечение мероприятий, связанных с профилактикой и устранением последствий распространения новой коронавирусной инфекции (COVID-19);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737,5 тыс.рублей- увеличен объем бюджетных ассигнований за счет внутреннего перераспределения, в связи с необходимостью оплаты исполнительного листа в ММАУ "Старт" (средства местного бюджета);                                                                                                                                     (+) 98,0  тыс. рублей - увеличен объем бюджетных ассигнований  на оплату налога на имущество;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200,0 тыс. рублей -     уменьшен объем бюджетных ассигнований, путем перераспределения, на обеспечения деятельности Территориальной психолого-медико-педагогической комиссии;                                                                                                                                                      (-) 901,6 тыс. рублей -     уменьшен объем бюджетных ассигнований, путем перераспределения,          на оплату налога на имущество и земельного налога  (средства местного бюджета).                 </t>
  </si>
  <si>
    <t xml:space="preserve">(+) 1 225,1 тыс.рублей-увеличен объем бюджетных ассигнований на обеспечение деятельности ДОиМП путем внутреннего перераспределения  (средства местного бюджета);                                                                                                                                                                             (+) 15 519,8 тыс. рублей – увеличен объем целевых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28 530,5 тыс. рублей – увеличен объем целевых межбюджетных трансфертов единой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ХМАО-Югры отдельных государственных полномочий 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743,6 тыс. рублей - увеличен объем бюджетных ассигнований на  благоустройство территории, а также монтаж и приобретение уличных антивандальных тренажеров в муниципальную собственность для МАОУ "СОШ №2" (средства резервного фонда Правительства Тюменской области -расп. от 20.02.20 №133-рп);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692,0 тыс. рублей - увеличен объем бюджетных ассигнований на организацию и проведение семинара "Доступная реабилитация", приобретение наборов резиновых амортизаторов и манжет в муниципальную собственность для МАДОУ №15 "Югорка" (средства резервного фонда Правительства Тюменской области - расп. от 11.03.2020 №185-рп);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1 725,1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7 319,3 тыс. рублей - увеличен объем бюджетных асс игнований за счет дотации на обеспечение сбалансированности бюджетов городских округов и муниципальных районов автономного округа на финансовое обеспечение мероприятий, связанных с профилактикой и устранением последствий распространения новой коронавирусной инфекции (COVID-19), в том числе на поддержку в период режима повышенной готовности некоммерческих организаций, социальных предприятий, реализующих программы дошкольного образования, организаций, оказывающих услуги по организации питания в образовательных организациях, на обеспечение неработающих граждан в возрасте 65 лет и старше продуктовыми наборами;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737,5 тыс. рублей - уменьшен объем бюджетных ассигнований на оплату исполнительного листа ММАУ "Старт"за счет внутреннего перерапределения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(+)  9 614,6 тыс. рублей - увеличен объем бюджетных ассигнований муниципальным учреждениям образования на оплату налога на имущество и земельного налога  (средства местного бюджета);                                                                                                                                                                                                                   (+) 1 100,1 тыс. рублей -  увеличен объем бюджетных ассигнований на выплату заработной платы и начисления на оплату труда путем перераспределения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(+) 1 755,1 тыс. рублей - увеличен объем бюджетных ассигнований, путем перераспределения,   для заключения контрактов на оказание круглосуточной охраны  (средства местного бюджета);                                                                                                                                                                                                                         (-) 478,8 тыс. рублей - уменьшен объем бюджетных ассигнований, путем перераспределения, на проведение мероприятий по подготовке учреждений образования к осенне-зимнему периоду и мероприятий, направленных на антитеррористическую защищенность объектов в сфере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1 300,0 тыс. рублей - увеличен объем бюджетных ассигнований на проведение олимпиады школьников, конкурса профессионального мастерства "Педагог года г.Мегион-2020", на обеспечение деятельности Территориальной психолого-медико-педагогической комиссии(средства местного бюджета);                                                                                                                                                                      (+) 11 047,5 тыс. рублей - увеличен объем целевых межбюджетных трансфертов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бюджета автономного округа);
(+) 2 820,7 тыс. рублей - увеличен объем целевых межбюджетных трансфертов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бюджета);
(+) 2 820,8 тыс. рублей - увеличен объем целевых межбюджетных трансфертов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(средства бюджета автономного округа); 
(+)  3 248,7 тыс. рублей – увеличен объем целевых межбюджетных трансфертов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(средства бюджета автономного округа);                                                                                                                                                                    (-) 21 260,0 тыс. рублей - уменьшен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200,0 тыс. рублей -  увеличен объем бюджетных ассигнований на обеспечение деятельности Территориальной психолого-медико-педагогической комиссии (средства местного бюджета).                                                                                                                                                                     </t>
  </si>
  <si>
    <t>(+) 1 132,7 тыс. рублей - увеличен объем бюджетных ассигнований на обеспечение деятельности Думы города, в целях оплаты кредиторской задолженности по поставке оргтехники  и на выплаты в связи с прекращением срока трудовых отношений (средства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</si>
</sst>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;[Red]\-#,##0.00;0.00"/>
    <numFmt numFmtId="165" formatCode="000"/>
    <numFmt numFmtId="166" formatCode="00\.0\.0000"/>
    <numFmt numFmtId="167" formatCode="0000000000"/>
    <numFmt numFmtId="168" formatCode="00.0.00.00000"/>
    <numFmt numFmtId="169" formatCode="#,##0.0;[Red]\-#,##0.0;0.0"/>
    <numFmt numFmtId="170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8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5" fillId="0" borderId="0"/>
  </cellStyleXfs>
  <cellXfs count="22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40" fontId="2" fillId="0" borderId="4" xfId="1" applyNumberFormat="1" applyFont="1" applyFill="1" applyBorder="1" applyAlignment="1" applyProtection="1">
      <alignment vertical="center"/>
      <protection hidden="1"/>
    </xf>
    <xf numFmtId="165" fontId="4" fillId="0" borderId="8" xfId="1" applyNumberFormat="1" applyFont="1" applyFill="1" applyBorder="1" applyAlignment="1" applyProtection="1">
      <alignment horizontal="center" vertical="center"/>
      <protection hidden="1"/>
    </xf>
    <xf numFmtId="168" fontId="4" fillId="7" borderId="11" xfId="1" applyNumberFormat="1" applyFont="1" applyFill="1" applyBorder="1" applyAlignment="1" applyProtection="1">
      <alignment wrapText="1"/>
      <protection hidden="1"/>
    </xf>
    <xf numFmtId="0" fontId="4" fillId="0" borderId="16" xfId="1" applyNumberFormat="1" applyFont="1" applyFill="1" applyBorder="1" applyAlignment="1" applyProtection="1">
      <alignment horizontal="center" vertical="center"/>
      <protection hidden="1"/>
    </xf>
    <xf numFmtId="0" fontId="4" fillId="2" borderId="17" xfId="1" applyNumberFormat="1" applyFont="1" applyFill="1" applyBorder="1" applyAlignment="1" applyProtection="1">
      <alignment horizontal="center" vertical="center"/>
      <protection hidden="1"/>
    </xf>
    <xf numFmtId="0" fontId="4" fillId="8" borderId="16" xfId="1" applyNumberFormat="1" applyFont="1" applyFill="1" applyBorder="1" applyAlignment="1" applyProtection="1">
      <alignment horizontal="center" vertical="center"/>
      <protection hidden="1"/>
    </xf>
    <xf numFmtId="0" fontId="4" fillId="5" borderId="17" xfId="1" applyNumberFormat="1" applyFont="1" applyFill="1" applyBorder="1" applyAlignment="1" applyProtection="1">
      <alignment horizontal="center" vertical="center"/>
      <protection hidden="1"/>
    </xf>
    <xf numFmtId="0" fontId="4" fillId="4" borderId="17" xfId="1" applyNumberFormat="1" applyFont="1" applyFill="1" applyBorder="1" applyAlignment="1" applyProtection="1">
      <alignment horizontal="center" vertical="center"/>
      <protection hidden="1"/>
    </xf>
    <xf numFmtId="0" fontId="4" fillId="7" borderId="16" xfId="1" applyNumberFormat="1" applyFont="1" applyFill="1" applyBorder="1" applyAlignment="1" applyProtection="1">
      <alignment horizontal="center" vertical="center"/>
      <protection hidden="1"/>
    </xf>
    <xf numFmtId="0" fontId="4" fillId="7" borderId="17" xfId="1" applyNumberFormat="1" applyFont="1" applyFill="1" applyBorder="1" applyAlignment="1" applyProtection="1">
      <alignment horizontal="center" vertical="center"/>
      <protection hidden="1"/>
    </xf>
    <xf numFmtId="0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5" borderId="18" xfId="1" applyNumberFormat="1" applyFont="1" applyFill="1" applyBorder="1" applyAlignment="1" applyProtection="1">
      <alignment horizontal="center" vertical="center"/>
      <protection hidden="1"/>
    </xf>
    <xf numFmtId="0" fontId="4" fillId="6" borderId="19" xfId="1" applyNumberFormat="1" applyFont="1" applyFill="1" applyBorder="1" applyAlignment="1" applyProtection="1">
      <alignment horizontal="center" vertical="center"/>
      <protection hidden="1"/>
    </xf>
    <xf numFmtId="0" fontId="4" fillId="7" borderId="20" xfId="1" applyNumberFormat="1" applyFont="1" applyFill="1" applyBorder="1" applyAlignment="1" applyProtection="1">
      <alignment horizontal="center" vertical="center"/>
      <protection hidden="1"/>
    </xf>
    <xf numFmtId="0" fontId="1" fillId="3" borderId="22" xfId="1" applyFont="1" applyFill="1" applyBorder="1" applyAlignment="1" applyProtection="1">
      <protection hidden="1"/>
    </xf>
    <xf numFmtId="0" fontId="1" fillId="3" borderId="23" xfId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1" fillId="3" borderId="26" xfId="1" applyFont="1" applyFill="1" applyBorder="1" applyAlignment="1" applyProtection="1">
      <protection hidden="1"/>
    </xf>
    <xf numFmtId="0" fontId="1" fillId="3" borderId="27" xfId="1" applyFont="1" applyFill="1" applyBorder="1" applyAlignment="1" applyProtection="1">
      <protection hidden="1"/>
    </xf>
    <xf numFmtId="0" fontId="2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8" fillId="0" borderId="0" xfId="2" applyFont="1" applyFill="1" applyAlignment="1">
      <alignment horizontal="right"/>
    </xf>
    <xf numFmtId="0" fontId="8" fillId="9" borderId="0" xfId="2" applyFont="1" applyFill="1" applyAlignment="1">
      <alignment horizontal="right"/>
    </xf>
    <xf numFmtId="0" fontId="1" fillId="0" borderId="0" xfId="1" applyFill="1" applyBorder="1" applyProtection="1">
      <protection hidden="1"/>
    </xf>
    <xf numFmtId="164" fontId="9" fillId="0" borderId="8" xfId="3" applyNumberFormat="1" applyFont="1" applyFill="1" applyBorder="1" applyAlignment="1" applyProtection="1">
      <alignment vertical="center"/>
      <protection hidden="1"/>
    </xf>
    <xf numFmtId="0" fontId="10" fillId="0" borderId="30" xfId="1" applyNumberFormat="1" applyFont="1" applyFill="1" applyBorder="1" applyAlignment="1" applyProtection="1">
      <protection hidden="1"/>
    </xf>
    <xf numFmtId="0" fontId="3" fillId="0" borderId="37" xfId="1" applyNumberFormat="1" applyFont="1" applyFill="1" applyBorder="1" applyAlignment="1" applyProtection="1">
      <protection hidden="1"/>
    </xf>
    <xf numFmtId="40" fontId="2" fillId="3" borderId="37" xfId="1" applyNumberFormat="1" applyFont="1" applyFill="1" applyBorder="1" applyAlignment="1" applyProtection="1">
      <alignment vertical="center"/>
      <protection hidden="1"/>
    </xf>
    <xf numFmtId="40" fontId="2" fillId="0" borderId="38" xfId="1" applyNumberFormat="1" applyFont="1" applyFill="1" applyBorder="1" applyAlignment="1" applyProtection="1">
      <alignment vertical="center"/>
      <protection hidden="1"/>
    </xf>
    <xf numFmtId="167" fontId="4" fillId="11" borderId="5" xfId="1" applyNumberFormat="1" applyFont="1" applyFill="1" applyBorder="1" applyAlignment="1" applyProtection="1">
      <alignment wrapText="1"/>
      <protection hidden="1"/>
    </xf>
    <xf numFmtId="0" fontId="4" fillId="11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11" borderId="9" xfId="1" applyNumberFormat="1" applyFont="1" applyFill="1" applyBorder="1" applyAlignment="1" applyProtection="1">
      <alignment horizontal="center" vertical="center" wrapText="1"/>
      <protection hidden="1"/>
    </xf>
    <xf numFmtId="166" fontId="4" fillId="11" borderId="5" xfId="1" applyNumberFormat="1" applyFont="1" applyFill="1" applyBorder="1" applyAlignment="1" applyProtection="1">
      <alignment horizontal="center" vertical="center" wrapText="1"/>
      <protection hidden="1"/>
    </xf>
    <xf numFmtId="165" fontId="4" fillId="11" borderId="8" xfId="1" applyNumberFormat="1" applyFont="1" applyFill="1" applyBorder="1" applyAlignment="1" applyProtection="1">
      <alignment horizontal="center" vertical="center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3" applyNumberFormat="1" applyFont="1" applyFill="1" applyBorder="1" applyAlignment="1" applyProtection="1">
      <alignment horizontal="center" vertical="center" wrapText="1"/>
      <protection hidden="1"/>
    </xf>
    <xf numFmtId="40" fontId="2" fillId="0" borderId="37" xfId="1" applyNumberFormat="1" applyFont="1" applyFill="1" applyBorder="1" applyAlignment="1" applyProtection="1">
      <alignment vertical="center"/>
      <protection hidden="1"/>
    </xf>
    <xf numFmtId="167" fontId="6" fillId="10" borderId="15" xfId="1" applyNumberFormat="1" applyFont="1" applyFill="1" applyBorder="1" applyAlignment="1" applyProtection="1">
      <alignment wrapText="1"/>
      <protection hidden="1"/>
    </xf>
    <xf numFmtId="0" fontId="6" fillId="1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10" borderId="14" xfId="1" applyNumberFormat="1" applyFont="1" applyFill="1" applyBorder="1" applyAlignment="1" applyProtection="1">
      <alignment horizontal="center" vertical="center" wrapText="1"/>
      <protection hidden="1"/>
    </xf>
    <xf numFmtId="166" fontId="6" fillId="10" borderId="15" xfId="1" applyNumberFormat="1" applyFont="1" applyFill="1" applyBorder="1" applyAlignment="1" applyProtection="1">
      <alignment horizontal="center" vertical="center" wrapText="1"/>
      <protection hidden="1"/>
    </xf>
    <xf numFmtId="165" fontId="6" fillId="10" borderId="13" xfId="1" applyNumberFormat="1" applyFont="1" applyFill="1" applyBorder="1" applyAlignment="1" applyProtection="1">
      <alignment horizontal="center" vertical="center"/>
      <protection hidden="1"/>
    </xf>
    <xf numFmtId="167" fontId="6" fillId="10" borderId="5" xfId="1" applyNumberFormat="1" applyFont="1" applyFill="1" applyBorder="1" applyAlignment="1" applyProtection="1">
      <alignment wrapText="1"/>
      <protection hidden="1"/>
    </xf>
    <xf numFmtId="0" fontId="6" fillId="1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10" borderId="9" xfId="1" applyNumberFormat="1" applyFont="1" applyFill="1" applyBorder="1" applyAlignment="1" applyProtection="1">
      <alignment horizontal="center" vertical="center" wrapText="1"/>
      <protection hidden="1"/>
    </xf>
    <xf numFmtId="166" fontId="6" fillId="1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10" borderId="8" xfId="1" applyNumberFormat="1" applyFont="1" applyFill="1" applyBorder="1" applyAlignment="1" applyProtection="1">
      <alignment horizontal="center" vertical="center"/>
      <protection hidden="1"/>
    </xf>
    <xf numFmtId="167" fontId="6" fillId="10" borderId="5" xfId="1" applyNumberFormat="1" applyFont="1" applyFill="1" applyBorder="1" applyAlignment="1" applyProtection="1">
      <alignment horizontal="left" wrapText="1"/>
      <protection hidden="1"/>
    </xf>
    <xf numFmtId="0" fontId="6" fillId="10" borderId="8" xfId="1" applyNumberFormat="1" applyFont="1" applyFill="1" applyBorder="1" applyAlignment="1" applyProtection="1">
      <alignment horizontal="left" vertical="center" wrapText="1"/>
      <protection hidden="1"/>
    </xf>
    <xf numFmtId="0" fontId="6" fillId="10" borderId="9" xfId="1" applyNumberFormat="1" applyFont="1" applyFill="1" applyBorder="1" applyAlignment="1" applyProtection="1">
      <alignment horizontal="left" vertical="center" wrapText="1"/>
      <protection hidden="1"/>
    </xf>
    <xf numFmtId="166" fontId="6" fillId="10" borderId="5" xfId="1" applyNumberFormat="1" applyFont="1" applyFill="1" applyBorder="1" applyAlignment="1" applyProtection="1">
      <alignment horizontal="left" vertical="center" wrapText="1"/>
      <protection hidden="1"/>
    </xf>
    <xf numFmtId="165" fontId="6" fillId="10" borderId="8" xfId="1" applyNumberFormat="1" applyFont="1" applyFill="1" applyBorder="1" applyAlignment="1" applyProtection="1">
      <alignment horizontal="left" vertical="center"/>
      <protection hidden="1"/>
    </xf>
    <xf numFmtId="164" fontId="6" fillId="10" borderId="8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Border="1"/>
    <xf numFmtId="164" fontId="4" fillId="11" borderId="7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7" xfId="1" applyNumberFormat="1" applyFont="1" applyFill="1" applyBorder="1" applyAlignment="1" applyProtection="1">
      <alignment horizontal="left" vertical="center" wrapText="1"/>
      <protection hidden="1"/>
    </xf>
    <xf numFmtId="168" fontId="4" fillId="6" borderId="11" xfId="1" applyNumberFormat="1" applyFont="1" applyFill="1" applyBorder="1" applyAlignment="1" applyProtection="1">
      <alignment horizontal="left" vertical="center" wrapText="1"/>
      <protection hidden="1"/>
    </xf>
    <xf numFmtId="168" fontId="9" fillId="6" borderId="10" xfId="1" applyNumberFormat="1" applyFont="1" applyFill="1" applyBorder="1" applyAlignment="1" applyProtection="1">
      <alignment horizontal="left" vertical="center" wrapText="1"/>
      <protection hidden="1"/>
    </xf>
    <xf numFmtId="40" fontId="2" fillId="0" borderId="37" xfId="1" applyNumberFormat="1" applyFont="1" applyFill="1" applyBorder="1" applyAlignment="1" applyProtection="1">
      <alignment horizontal="right" vertical="center"/>
      <protection hidden="1"/>
    </xf>
    <xf numFmtId="164" fontId="4" fillId="12" borderId="8" xfId="1" applyNumberFormat="1" applyFont="1" applyFill="1" applyBorder="1" applyAlignment="1" applyProtection="1">
      <alignment vertical="center"/>
      <protection hidden="1"/>
    </xf>
    <xf numFmtId="4" fontId="1" fillId="9" borderId="0" xfId="1" applyNumberFormat="1" applyFill="1" applyBorder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164" fontId="2" fillId="10" borderId="12" xfId="1" applyNumberFormat="1" applyFont="1" applyFill="1" applyBorder="1" applyAlignment="1" applyProtection="1">
      <alignment horizontal="left" vertical="center" wrapText="1"/>
      <protection hidden="1"/>
    </xf>
    <xf numFmtId="164" fontId="2" fillId="10" borderId="7" xfId="1" applyNumberFormat="1" applyFont="1" applyFill="1" applyBorder="1" applyAlignment="1" applyProtection="1">
      <alignment horizontal="left" vertical="center" wrapText="1"/>
      <protection hidden="1"/>
    </xf>
    <xf numFmtId="164" fontId="4" fillId="10" borderId="7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7" xfId="1" applyNumberFormat="1" applyFont="1" applyFill="1" applyBorder="1" applyAlignment="1" applyProtection="1">
      <alignment horizontal="left" vertical="top" wrapText="1"/>
      <protection hidden="1"/>
    </xf>
    <xf numFmtId="164" fontId="4" fillId="12" borderId="7" xfId="1" applyNumberFormat="1" applyFont="1" applyFill="1" applyBorder="1" applyAlignment="1" applyProtection="1">
      <alignment horizontal="left" vertical="top" wrapText="1"/>
      <protection hidden="1"/>
    </xf>
    <xf numFmtId="164" fontId="4" fillId="12" borderId="7" xfId="1" applyNumberFormat="1" applyFont="1" applyFill="1" applyBorder="1" applyAlignment="1" applyProtection="1">
      <alignment horizontal="left" vertical="center" wrapText="1"/>
      <protection hidden="1"/>
    </xf>
    <xf numFmtId="168" fontId="4" fillId="7" borderId="0" xfId="1" applyNumberFormat="1" applyFont="1" applyFill="1" applyBorder="1" applyAlignment="1" applyProtection="1">
      <alignment wrapText="1"/>
      <protection hidden="1"/>
    </xf>
    <xf numFmtId="49" fontId="4" fillId="11" borderId="8" xfId="1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1" applyNumberFormat="1"/>
    <xf numFmtId="164" fontId="4" fillId="0" borderId="35" xfId="1" applyNumberFormat="1" applyFont="1" applyFill="1" applyBorder="1" applyAlignment="1" applyProtection="1">
      <alignment vertical="center"/>
      <protection hidden="1"/>
    </xf>
    <xf numFmtId="168" fontId="4" fillId="7" borderId="6" xfId="1" applyNumberFormat="1" applyFont="1" applyFill="1" applyBorder="1" applyAlignment="1" applyProtection="1">
      <alignment wrapText="1"/>
      <protection hidden="1"/>
    </xf>
    <xf numFmtId="168" fontId="4" fillId="6" borderId="2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6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9" xfId="1" applyNumberFormat="1" applyFont="1" applyFill="1" applyBorder="1" applyAlignment="1" applyProtection="1">
      <alignment horizontal="center" vertical="center"/>
      <protection hidden="1"/>
    </xf>
    <xf numFmtId="167" fontId="4" fillId="0" borderId="35" xfId="1" applyNumberFormat="1" applyFont="1" applyFill="1" applyBorder="1" applyAlignment="1" applyProtection="1">
      <alignment wrapText="1"/>
      <protection hidden="1"/>
    </xf>
    <xf numFmtId="166" fontId="4" fillId="0" borderId="35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35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left" wrapText="1"/>
    </xf>
    <xf numFmtId="167" fontId="2" fillId="10" borderId="5" xfId="1" applyNumberFormat="1" applyFont="1" applyFill="1" applyBorder="1" applyAlignment="1" applyProtection="1">
      <alignment wrapText="1"/>
      <protection hidden="1"/>
    </xf>
    <xf numFmtId="0" fontId="2" fillId="1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10" borderId="9" xfId="1" applyNumberFormat="1" applyFont="1" applyFill="1" applyBorder="1" applyAlignment="1" applyProtection="1">
      <alignment horizontal="center" vertical="center" wrapText="1"/>
      <protection hidden="1"/>
    </xf>
    <xf numFmtId="166" fontId="2" fillId="10" borderId="5" xfId="1" applyNumberFormat="1" applyFont="1" applyFill="1" applyBorder="1" applyAlignment="1" applyProtection="1">
      <alignment horizontal="center" vertical="center" wrapText="1"/>
      <protection hidden="1"/>
    </xf>
    <xf numFmtId="165" fontId="2" fillId="10" borderId="8" xfId="1" applyNumberFormat="1" applyFont="1" applyFill="1" applyBorder="1" applyAlignment="1" applyProtection="1">
      <alignment horizontal="center" vertical="center"/>
      <protection hidden="1"/>
    </xf>
    <xf numFmtId="164" fontId="13" fillId="0" borderId="7" xfId="1" applyNumberFormat="1" applyFont="1" applyFill="1" applyBorder="1" applyAlignment="1" applyProtection="1">
      <alignment horizontal="left" vertical="center" wrapText="1"/>
      <protection hidden="1"/>
    </xf>
    <xf numFmtId="164" fontId="13" fillId="11" borderId="7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>
      <alignment wrapText="1"/>
    </xf>
    <xf numFmtId="0" fontId="14" fillId="11" borderId="7" xfId="0" applyFont="1" applyFill="1" applyBorder="1" applyAlignment="1">
      <alignment wrapText="1"/>
    </xf>
    <xf numFmtId="168" fontId="9" fillId="11" borderId="11" xfId="1" applyNumberFormat="1" applyFont="1" applyFill="1" applyBorder="1" applyAlignment="1" applyProtection="1">
      <alignment horizontal="left" vertical="center" wrapText="1"/>
      <protection hidden="1"/>
    </xf>
    <xf numFmtId="164" fontId="15" fillId="10" borderId="8" xfId="1" applyNumberFormat="1" applyFont="1" applyFill="1" applyBorder="1" applyAlignment="1" applyProtection="1">
      <alignment vertical="center"/>
      <protection hidden="1"/>
    </xf>
    <xf numFmtId="164" fontId="11" fillId="11" borderId="7" xfId="1" applyNumberFormat="1" applyFont="1" applyFill="1" applyBorder="1" applyAlignment="1" applyProtection="1">
      <alignment horizontal="left" vertical="center" wrapText="1"/>
      <protection hidden="1"/>
    </xf>
    <xf numFmtId="164" fontId="15" fillId="10" borderId="8" xfId="1" applyNumberFormat="1" applyFont="1" applyFill="1" applyBorder="1" applyAlignment="1" applyProtection="1">
      <alignment horizontal="right" vertical="center"/>
      <protection hidden="1"/>
    </xf>
    <xf numFmtId="164" fontId="4" fillId="11" borderId="9" xfId="1" applyNumberFormat="1" applyFont="1" applyFill="1" applyBorder="1" applyAlignment="1" applyProtection="1">
      <alignment vertical="center"/>
      <protection hidden="1"/>
    </xf>
    <xf numFmtId="164" fontId="4" fillId="11" borderId="8" xfId="1" applyNumberFormat="1" applyFont="1" applyFill="1" applyBorder="1" applyAlignment="1" applyProtection="1">
      <alignment vertical="center"/>
      <protection hidden="1"/>
    </xf>
    <xf numFmtId="164" fontId="4" fillId="0" borderId="9" xfId="1" applyNumberFormat="1" applyFont="1" applyFill="1" applyBorder="1" applyAlignment="1" applyProtection="1">
      <alignment vertical="center"/>
      <protection hidden="1"/>
    </xf>
    <xf numFmtId="164" fontId="4" fillId="0" borderId="8" xfId="1" applyNumberFormat="1" applyFont="1" applyFill="1" applyBorder="1" applyAlignment="1" applyProtection="1">
      <alignment vertical="center"/>
      <protection hidden="1"/>
    </xf>
    <xf numFmtId="164" fontId="6" fillId="10" borderId="8" xfId="1" applyNumberFormat="1" applyFont="1" applyFill="1" applyBorder="1" applyAlignment="1" applyProtection="1">
      <alignment vertical="center"/>
      <protection hidden="1"/>
    </xf>
    <xf numFmtId="164" fontId="2" fillId="10" borderId="8" xfId="1" applyNumberFormat="1" applyFont="1" applyFill="1" applyBorder="1" applyAlignment="1" applyProtection="1">
      <alignment vertical="center"/>
      <protection hidden="1"/>
    </xf>
    <xf numFmtId="164" fontId="6" fillId="10" borderId="13" xfId="1" applyNumberFormat="1" applyFont="1" applyFill="1" applyBorder="1" applyAlignment="1" applyProtection="1">
      <alignment vertical="center"/>
      <protection hidden="1"/>
    </xf>
    <xf numFmtId="0" fontId="1" fillId="0" borderId="20" xfId="1" applyBorder="1" applyProtection="1">
      <protection hidden="1"/>
    </xf>
    <xf numFmtId="0" fontId="1" fillId="0" borderId="16" xfId="1" applyBorder="1" applyProtection="1">
      <protection hidden="1"/>
    </xf>
    <xf numFmtId="0" fontId="13" fillId="0" borderId="3" xfId="0" applyFont="1" applyBorder="1" applyAlignment="1">
      <alignment horizontal="justify" vertical="center"/>
    </xf>
    <xf numFmtId="169" fontId="4" fillId="11" borderId="7" xfId="3" applyNumberFormat="1" applyFont="1" applyFill="1" applyBorder="1" applyAlignment="1" applyProtection="1">
      <alignment vertical="center" wrapText="1"/>
      <protection hidden="1"/>
    </xf>
    <xf numFmtId="169" fontId="4" fillId="0" borderId="7" xfId="3" applyNumberFormat="1" applyFont="1" applyFill="1" applyBorder="1" applyAlignment="1" applyProtection="1">
      <alignment vertical="center" wrapText="1"/>
      <protection hidden="1"/>
    </xf>
    <xf numFmtId="0" fontId="11" fillId="11" borderId="7" xfId="0" applyFont="1" applyFill="1" applyBorder="1" applyAlignment="1">
      <alignment horizontal="justify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justify" vertical="center"/>
    </xf>
    <xf numFmtId="0" fontId="1" fillId="0" borderId="46" xfId="1" applyNumberFormat="1" applyFont="1" applyFill="1" applyBorder="1" applyAlignment="1" applyProtection="1">
      <protection hidden="1"/>
    </xf>
    <xf numFmtId="0" fontId="1" fillId="0" borderId="30" xfId="1" applyNumberFormat="1" applyFont="1" applyFill="1" applyBorder="1" applyAlignment="1" applyProtection="1">
      <protection hidden="1"/>
    </xf>
    <xf numFmtId="167" fontId="4" fillId="11" borderId="5" xfId="1" applyNumberFormat="1" applyFont="1" applyFill="1" applyBorder="1" applyAlignment="1" applyProtection="1">
      <alignment vertical="top" wrapText="1"/>
      <protection hidden="1"/>
    </xf>
    <xf numFmtId="0" fontId="4" fillId="11" borderId="9" xfId="1" applyNumberFormat="1" applyFont="1" applyFill="1" applyBorder="1" applyAlignment="1" applyProtection="1">
      <alignment horizontal="center" vertical="top" wrapText="1"/>
      <protection hidden="1"/>
    </xf>
    <xf numFmtId="166" fontId="4" fillId="11" borderId="5" xfId="1" applyNumberFormat="1" applyFont="1" applyFill="1" applyBorder="1" applyAlignment="1" applyProtection="1">
      <alignment horizontal="center" vertical="top" wrapText="1"/>
      <protection hidden="1"/>
    </xf>
    <xf numFmtId="165" fontId="4" fillId="11" borderId="8" xfId="1" applyNumberFormat="1" applyFont="1" applyFill="1" applyBorder="1" applyAlignment="1" applyProtection="1">
      <alignment horizontal="center" vertical="top"/>
      <protection hidden="1"/>
    </xf>
    <xf numFmtId="164" fontId="4" fillId="11" borderId="8" xfId="1" applyNumberFormat="1" applyFont="1" applyFill="1" applyBorder="1" applyAlignment="1" applyProtection="1">
      <alignment vertical="top"/>
      <protection hidden="1"/>
    </xf>
    <xf numFmtId="164" fontId="4" fillId="11" borderId="9" xfId="1" applyNumberFormat="1" applyFont="1" applyFill="1" applyBorder="1" applyAlignment="1" applyProtection="1">
      <alignment vertical="top"/>
      <protection hidden="1"/>
    </xf>
    <xf numFmtId="164" fontId="4" fillId="11" borderId="9" xfId="1" applyNumberFormat="1" applyFont="1" applyFill="1" applyBorder="1" applyAlignment="1" applyProtection="1">
      <alignment vertical="top"/>
      <protection hidden="1"/>
    </xf>
    <xf numFmtId="164" fontId="4" fillId="11" borderId="8" xfId="1" applyNumberFormat="1" applyFont="1" applyFill="1" applyBorder="1" applyAlignment="1" applyProtection="1">
      <alignment vertical="top"/>
      <protection hidden="1"/>
    </xf>
    <xf numFmtId="164" fontId="4" fillId="11" borderId="9" xfId="1" applyNumberFormat="1" applyFont="1" applyFill="1" applyBorder="1" applyAlignment="1" applyProtection="1">
      <alignment vertical="center"/>
      <protection hidden="1"/>
    </xf>
    <xf numFmtId="164" fontId="4" fillId="11" borderId="8" xfId="1" applyNumberFormat="1" applyFont="1" applyFill="1" applyBorder="1" applyAlignment="1" applyProtection="1">
      <alignment vertical="center"/>
      <protection hidden="1"/>
    </xf>
    <xf numFmtId="168" fontId="4" fillId="11" borderId="10" xfId="1" applyNumberFormat="1" applyFont="1" applyFill="1" applyBorder="1" applyAlignment="1" applyProtection="1">
      <alignment horizontal="left" vertical="center" wrapText="1"/>
      <protection hidden="1"/>
    </xf>
    <xf numFmtId="168" fontId="4" fillId="11" borderId="9" xfId="1" applyNumberFormat="1" applyFont="1" applyFill="1" applyBorder="1" applyAlignment="1" applyProtection="1">
      <alignment horizontal="left" vertical="center" wrapText="1"/>
      <protection hidden="1"/>
    </xf>
    <xf numFmtId="168" fontId="9" fillId="11" borderId="10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9" xfId="1" applyNumberFormat="1" applyFont="1" applyFill="1" applyBorder="1" applyAlignment="1" applyProtection="1">
      <alignment vertical="center"/>
      <protection hidden="1"/>
    </xf>
    <xf numFmtId="164" fontId="4" fillId="0" borderId="8" xfId="1" applyNumberFormat="1" applyFont="1" applyFill="1" applyBorder="1" applyAlignment="1" applyProtection="1">
      <alignment vertical="center"/>
      <protection hidden="1"/>
    </xf>
    <xf numFmtId="168" fontId="4" fillId="0" borderId="9" xfId="1" applyNumberFormat="1" applyFont="1" applyFill="1" applyBorder="1" applyAlignment="1" applyProtection="1">
      <alignment horizontal="left" vertical="center" wrapText="1"/>
      <protection hidden="1"/>
    </xf>
    <xf numFmtId="0" fontId="4" fillId="11" borderId="35" xfId="1" applyNumberFormat="1" applyFont="1" applyFill="1" applyBorder="1" applyAlignment="1" applyProtection="1">
      <alignment horizontal="center" vertical="top" wrapText="1"/>
      <protection hidden="1"/>
    </xf>
    <xf numFmtId="0" fontId="4" fillId="11" borderId="22" xfId="1" applyNumberFormat="1" applyFont="1" applyFill="1" applyBorder="1" applyAlignment="1" applyProtection="1">
      <alignment horizontal="center" vertical="top" wrapText="1"/>
      <protection hidden="1"/>
    </xf>
    <xf numFmtId="164" fontId="6" fillId="10" borderId="9" xfId="1" applyNumberFormat="1" applyFont="1" applyFill="1" applyBorder="1" applyAlignment="1" applyProtection="1">
      <alignment vertical="center"/>
      <protection hidden="1"/>
    </xf>
    <xf numFmtId="164" fontId="6" fillId="10" borderId="8" xfId="1" applyNumberFormat="1" applyFont="1" applyFill="1" applyBorder="1" applyAlignment="1" applyProtection="1">
      <alignment vertical="center"/>
      <protection hidden="1"/>
    </xf>
    <xf numFmtId="168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8" fontId="2" fillId="10" borderId="11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5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32" xfId="1" applyNumberFormat="1" applyFont="1" applyFill="1" applyBorder="1" applyAlignment="1" applyProtection="1">
      <alignment horizontal="left" vertical="center" wrapText="1"/>
      <protection hidden="1"/>
    </xf>
    <xf numFmtId="168" fontId="9" fillId="11" borderId="9" xfId="1" applyNumberFormat="1" applyFont="1" applyFill="1" applyBorder="1" applyAlignment="1" applyProtection="1">
      <alignment horizontal="left" vertical="center" wrapText="1"/>
      <protection hidden="1"/>
    </xf>
    <xf numFmtId="164" fontId="6" fillId="10" borderId="9" xfId="1" applyNumberFormat="1" applyFont="1" applyFill="1" applyBorder="1" applyAlignment="1" applyProtection="1">
      <alignment horizontal="left" vertical="center"/>
      <protection hidden="1"/>
    </xf>
    <xf numFmtId="164" fontId="6" fillId="10" borderId="8" xfId="1" applyNumberFormat="1" applyFont="1" applyFill="1" applyBorder="1" applyAlignment="1" applyProtection="1">
      <alignment horizontal="left" vertical="center"/>
      <protection hidden="1"/>
    </xf>
    <xf numFmtId="164" fontId="2" fillId="10" borderId="9" xfId="1" applyNumberFormat="1" applyFont="1" applyFill="1" applyBorder="1" applyAlignment="1" applyProtection="1">
      <alignment vertical="center"/>
      <protection hidden="1"/>
    </xf>
    <xf numFmtId="164" fontId="2" fillId="10" borderId="8" xfId="1" applyNumberFormat="1" applyFont="1" applyFill="1" applyBorder="1" applyAlignment="1" applyProtection="1">
      <alignment vertical="center"/>
      <protection hidden="1"/>
    </xf>
    <xf numFmtId="49" fontId="9" fillId="0" borderId="11" xfId="1" applyNumberFormat="1" applyFont="1" applyFill="1" applyBorder="1" applyAlignment="1" applyProtection="1">
      <alignment horizontal="left" vertical="center" wrapText="1"/>
      <protection hidden="1"/>
    </xf>
    <xf numFmtId="49" fontId="9" fillId="0" borderId="5" xfId="1" applyNumberFormat="1" applyFont="1" applyFill="1" applyBorder="1" applyAlignment="1" applyProtection="1">
      <alignment horizontal="left" vertical="center" wrapText="1"/>
      <protection hidden="1"/>
    </xf>
    <xf numFmtId="49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2" fillId="10" borderId="5" xfId="1" applyNumberFormat="1" applyFont="1" applyFill="1" applyBorder="1" applyAlignment="1" applyProtection="1">
      <alignment horizontal="left" vertical="center" wrapText="1"/>
      <protection hidden="1"/>
    </xf>
    <xf numFmtId="168" fontId="2" fillId="10" borderId="32" xfId="1" applyNumberFormat="1" applyFont="1" applyFill="1" applyBorder="1" applyAlignment="1" applyProtection="1">
      <alignment horizontal="left" vertical="center" wrapText="1"/>
      <protection hidden="1"/>
    </xf>
    <xf numFmtId="168" fontId="4" fillId="11" borderId="5" xfId="1" applyNumberFormat="1" applyFont="1" applyFill="1" applyBorder="1" applyAlignment="1" applyProtection="1">
      <alignment horizontal="left" vertical="center" wrapText="1"/>
      <protection hidden="1"/>
    </xf>
    <xf numFmtId="168" fontId="4" fillId="11" borderId="32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9" xfId="1" applyNumberFormat="1" applyFont="1" applyFill="1" applyBorder="1" applyAlignment="1" applyProtection="1">
      <alignment vertical="top"/>
      <protection hidden="1"/>
    </xf>
    <xf numFmtId="164" fontId="4" fillId="11" borderId="8" xfId="1" applyNumberFormat="1" applyFont="1" applyFill="1" applyBorder="1" applyAlignment="1" applyProtection="1">
      <alignment vertical="top"/>
      <protection hidden="1"/>
    </xf>
    <xf numFmtId="168" fontId="6" fillId="10" borderId="10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9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5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5" xfId="1" applyNumberFormat="1" applyFont="1" applyFill="1" applyBorder="1" applyAlignment="1" applyProtection="1">
      <alignment horizontal="center"/>
      <protection hidden="1"/>
    </xf>
    <xf numFmtId="0" fontId="10" fillId="0" borderId="31" xfId="1" applyNumberFormat="1" applyFont="1" applyFill="1" applyBorder="1" applyAlignment="1" applyProtection="1">
      <alignment horizontal="center"/>
      <protection hidden="1"/>
    </xf>
    <xf numFmtId="0" fontId="10" fillId="0" borderId="36" xfId="1" applyNumberFormat="1" applyFont="1" applyFill="1" applyBorder="1" applyAlignment="1" applyProtection="1">
      <alignment horizontal="center"/>
      <protection hidden="1"/>
    </xf>
    <xf numFmtId="168" fontId="6" fillId="10" borderId="1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9" xfId="3" applyNumberFormat="1" applyFont="1" applyFill="1" applyBorder="1" applyAlignment="1" applyProtection="1">
      <alignment horizontal="left" vertical="center" wrapText="1"/>
      <protection hidden="1"/>
    </xf>
    <xf numFmtId="164" fontId="4" fillId="11" borderId="44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47" xfId="1" applyNumberFormat="1" applyFont="1" applyFill="1" applyBorder="1" applyAlignment="1" applyProtection="1">
      <alignment horizontal="left" vertical="center" wrapText="1"/>
      <protection hidden="1"/>
    </xf>
    <xf numFmtId="164" fontId="4" fillId="11" borderId="45" xfId="1" applyNumberFormat="1" applyFont="1" applyFill="1" applyBorder="1" applyAlignment="1" applyProtection="1">
      <alignment horizontal="left" vertical="center" wrapText="1"/>
      <protection hidden="1"/>
    </xf>
    <xf numFmtId="168" fontId="4" fillId="11" borderId="39" xfId="1" applyNumberFormat="1" applyFont="1" applyFill="1" applyBorder="1" applyAlignment="1" applyProtection="1">
      <alignment horizontal="left" vertical="top" wrapText="1"/>
      <protection hidden="1"/>
    </xf>
    <xf numFmtId="168" fontId="4" fillId="11" borderId="40" xfId="1" applyNumberFormat="1" applyFont="1" applyFill="1" applyBorder="1" applyAlignment="1" applyProtection="1">
      <alignment horizontal="left" vertical="top" wrapText="1"/>
      <protection hidden="1"/>
    </xf>
    <xf numFmtId="168" fontId="4" fillId="11" borderId="41" xfId="1" applyNumberFormat="1" applyFont="1" applyFill="1" applyBorder="1" applyAlignment="1" applyProtection="1">
      <alignment horizontal="left" vertical="top" wrapText="1"/>
      <protection hidden="1"/>
    </xf>
    <xf numFmtId="168" fontId="4" fillId="11" borderId="2" xfId="1" applyNumberFormat="1" applyFont="1" applyFill="1" applyBorder="1" applyAlignment="1" applyProtection="1">
      <alignment horizontal="left" vertical="top" wrapText="1"/>
      <protection hidden="1"/>
    </xf>
    <xf numFmtId="168" fontId="4" fillId="11" borderId="0" xfId="1" applyNumberFormat="1" applyFont="1" applyFill="1" applyBorder="1" applyAlignment="1" applyProtection="1">
      <alignment horizontal="left" vertical="top" wrapText="1"/>
      <protection hidden="1"/>
    </xf>
    <xf numFmtId="168" fontId="4" fillId="11" borderId="48" xfId="1" applyNumberFormat="1" applyFont="1" applyFill="1" applyBorder="1" applyAlignment="1" applyProtection="1">
      <alignment horizontal="left" vertical="top" wrapText="1"/>
      <protection hidden="1"/>
    </xf>
    <xf numFmtId="168" fontId="4" fillId="11" borderId="6" xfId="1" applyNumberFormat="1" applyFont="1" applyFill="1" applyBorder="1" applyAlignment="1" applyProtection="1">
      <alignment horizontal="left" vertical="top" wrapText="1"/>
      <protection hidden="1"/>
    </xf>
    <xf numFmtId="168" fontId="4" fillId="11" borderId="42" xfId="1" applyNumberFormat="1" applyFont="1" applyFill="1" applyBorder="1" applyAlignment="1" applyProtection="1">
      <alignment horizontal="left" vertical="top" wrapText="1"/>
      <protection hidden="1"/>
    </xf>
    <xf numFmtId="168" fontId="4" fillId="11" borderId="43" xfId="1" applyNumberFormat="1" applyFont="1" applyFill="1" applyBorder="1" applyAlignment="1" applyProtection="1">
      <alignment horizontal="left" vertical="top" wrapText="1"/>
      <protection hidden="1"/>
    </xf>
    <xf numFmtId="164" fontId="4" fillId="11" borderId="35" xfId="1" applyNumberFormat="1" applyFont="1" applyFill="1" applyBorder="1" applyAlignment="1" applyProtection="1">
      <alignment horizontal="center" vertical="top"/>
      <protection hidden="1"/>
    </xf>
    <xf numFmtId="164" fontId="4" fillId="11" borderId="26" xfId="1" applyNumberFormat="1" applyFont="1" applyFill="1" applyBorder="1" applyAlignment="1" applyProtection="1">
      <alignment horizontal="center" vertical="top"/>
      <protection hidden="1"/>
    </xf>
    <xf numFmtId="164" fontId="4" fillId="11" borderId="22" xfId="1" applyNumberFormat="1" applyFont="1" applyFill="1" applyBorder="1" applyAlignment="1" applyProtection="1">
      <alignment horizontal="center" vertical="top"/>
      <protection hidden="1"/>
    </xf>
    <xf numFmtId="168" fontId="4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3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8" fontId="2" fillId="10" borderId="33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10" borderId="34" xfId="1" applyNumberFormat="1" applyFont="1" applyFill="1" applyBorder="1" applyAlignment="1" applyProtection="1">
      <alignment horizontal="left" vertical="center" wrapText="1"/>
      <protection hidden="1"/>
    </xf>
    <xf numFmtId="0" fontId="2" fillId="4" borderId="24" xfId="1" applyNumberFormat="1" applyFont="1" applyFill="1" applyBorder="1" applyAlignment="1" applyProtection="1">
      <alignment horizontal="center" vertical="center" wrapText="1"/>
      <protection hidden="1"/>
    </xf>
    <xf numFmtId="164" fontId="6" fillId="10" borderId="14" xfId="1" applyNumberFormat="1" applyFont="1" applyFill="1" applyBorder="1" applyAlignment="1" applyProtection="1">
      <alignment vertical="center"/>
      <protection hidden="1"/>
    </xf>
    <xf numFmtId="164" fontId="6" fillId="10" borderId="13" xfId="1" applyNumberFormat="1" applyFont="1" applyFill="1" applyBorder="1" applyAlignment="1" applyProtection="1">
      <alignment vertical="center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11" borderId="26" xfId="1" applyNumberFormat="1" applyFont="1" applyFill="1" applyBorder="1" applyAlignment="1" applyProtection="1">
      <alignment horizontal="center" vertical="top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showGridLines="0" tabSelected="1" topLeftCell="A146" zoomScale="80" zoomScaleNormal="80" zoomScaleSheetLayoutView="80" workbookViewId="0">
      <selection activeCell="AD146" sqref="AD146"/>
    </sheetView>
  </sheetViews>
  <sheetFormatPr defaultColWidth="9.140625" defaultRowHeight="12.75" outlineLevelRow="2" x14ac:dyDescent="0.2"/>
  <cols>
    <col min="1" max="1" width="0.42578125" style="1" customWidth="1"/>
    <col min="2" max="2" width="2.7109375" style="1" hidden="1" customWidth="1"/>
    <col min="3" max="3" width="1.28515625" style="1" hidden="1" customWidth="1"/>
    <col min="4" max="6" width="2.7109375" style="1" customWidth="1"/>
    <col min="7" max="7" width="85.140625" style="1" customWidth="1"/>
    <col min="8" max="8" width="0" style="1" hidden="1" customWidth="1"/>
    <col min="9" max="9" width="6.140625" style="1" customWidth="1"/>
    <col min="10" max="11" width="4.85546875" style="1" customWidth="1"/>
    <col min="12" max="12" width="11.85546875" style="1" hidden="1" customWidth="1"/>
    <col min="13" max="13" width="0" style="1" hidden="1" customWidth="1"/>
    <col min="14" max="14" width="5.42578125" style="1" hidden="1" customWidth="1"/>
    <col min="15" max="18" width="0" style="1" hidden="1" customWidth="1"/>
    <col min="19" max="19" width="14.5703125" style="1" hidden="1" customWidth="1"/>
    <col min="20" max="20" width="16" style="1" hidden="1" customWidth="1"/>
    <col min="21" max="23" width="13.42578125" style="1" customWidth="1"/>
    <col min="24" max="24" width="64.7109375" style="1" customWidth="1"/>
    <col min="25" max="25" width="1" style="1" customWidth="1"/>
    <col min="26" max="26" width="9.140625" style="1" customWidth="1"/>
    <col min="27" max="27" width="13" style="1" customWidth="1"/>
    <col min="28" max="252" width="9.140625" style="1" customWidth="1"/>
    <col min="253" max="16384" width="9.140625" style="1"/>
  </cols>
  <sheetData>
    <row r="1" spans="1:25" ht="13.5" customHeight="1" x14ac:dyDescent="0.25">
      <c r="A1" s="2"/>
      <c r="B1" s="2"/>
      <c r="C1" s="2"/>
      <c r="D1" s="2"/>
      <c r="E1" s="2"/>
      <c r="F1" s="2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9" t="s">
        <v>231</v>
      </c>
      <c r="Y1" s="2"/>
    </row>
    <row r="2" spans="1:25" ht="13.5" customHeight="1" x14ac:dyDescent="0.25">
      <c r="A2" s="2"/>
      <c r="B2" s="2"/>
      <c r="C2" s="2"/>
      <c r="D2" s="2"/>
      <c r="E2" s="2"/>
      <c r="F2" s="2"/>
      <c r="G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8" t="s">
        <v>232</v>
      </c>
      <c r="Y2" s="2"/>
    </row>
    <row r="3" spans="1:25" ht="12.75" customHeight="1" thickBot="1" x14ac:dyDescent="0.25">
      <c r="A3" s="2"/>
      <c r="B3" s="30"/>
      <c r="C3" s="30" t="s">
        <v>227</v>
      </c>
      <c r="D3" s="21"/>
      <c r="E3" s="21"/>
      <c r="F3" s="21"/>
      <c r="G3" s="21"/>
      <c r="H3" s="21"/>
      <c r="I3" s="2"/>
      <c r="J3" s="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"/>
      <c r="Y3" s="2"/>
    </row>
    <row r="4" spans="1:25" ht="37.5" customHeight="1" thickBot="1" x14ac:dyDescent="0.25">
      <c r="A4" s="113"/>
      <c r="B4" s="205" t="s">
        <v>456</v>
      </c>
      <c r="C4" s="206"/>
      <c r="D4" s="206"/>
      <c r="E4" s="206"/>
      <c r="F4" s="206"/>
      <c r="G4" s="196"/>
      <c r="H4" s="204" t="s">
        <v>225</v>
      </c>
      <c r="I4" s="213" t="s">
        <v>228</v>
      </c>
      <c r="J4" s="214"/>
      <c r="K4" s="173"/>
      <c r="L4" s="200" t="s">
        <v>226</v>
      </c>
      <c r="M4" s="200" t="s">
        <v>225</v>
      </c>
      <c r="N4" s="203" t="s">
        <v>224</v>
      </c>
      <c r="O4" s="25" t="s">
        <v>223</v>
      </c>
      <c r="P4" s="24" t="s">
        <v>222</v>
      </c>
      <c r="Q4" s="24" t="s">
        <v>221</v>
      </c>
      <c r="R4" s="24" t="s">
        <v>220</v>
      </c>
      <c r="S4" s="173" t="s">
        <v>233</v>
      </c>
      <c r="T4" s="145" t="s">
        <v>229</v>
      </c>
      <c r="U4" s="196" t="s">
        <v>356</v>
      </c>
      <c r="V4" s="145" t="s">
        <v>229</v>
      </c>
      <c r="W4" s="176" t="s">
        <v>357</v>
      </c>
      <c r="X4" s="145" t="s">
        <v>230</v>
      </c>
      <c r="Y4" s="21"/>
    </row>
    <row r="5" spans="1:25" ht="11.25" customHeight="1" thickBot="1" x14ac:dyDescent="0.25">
      <c r="A5" s="4"/>
      <c r="B5" s="207"/>
      <c r="C5" s="208"/>
      <c r="D5" s="208"/>
      <c r="E5" s="208"/>
      <c r="F5" s="208"/>
      <c r="G5" s="209"/>
      <c r="H5" s="204"/>
      <c r="I5" s="215"/>
      <c r="J5" s="216"/>
      <c r="K5" s="174"/>
      <c r="L5" s="200"/>
      <c r="M5" s="200"/>
      <c r="N5" s="203"/>
      <c r="O5" s="23"/>
      <c r="P5" s="22"/>
      <c r="Q5" s="22"/>
      <c r="R5" s="22"/>
      <c r="S5" s="174"/>
      <c r="T5" s="146"/>
      <c r="U5" s="174"/>
      <c r="V5" s="146"/>
      <c r="W5" s="177"/>
      <c r="X5" s="146"/>
      <c r="Y5" s="21"/>
    </row>
    <row r="6" spans="1:25" ht="53.25" customHeight="1" thickBot="1" x14ac:dyDescent="0.25">
      <c r="A6" s="4"/>
      <c r="B6" s="210"/>
      <c r="C6" s="211"/>
      <c r="D6" s="211"/>
      <c r="E6" s="211"/>
      <c r="F6" s="211"/>
      <c r="G6" s="212"/>
      <c r="H6" s="204"/>
      <c r="I6" s="217"/>
      <c r="J6" s="218"/>
      <c r="K6" s="175"/>
      <c r="L6" s="200"/>
      <c r="M6" s="200"/>
      <c r="N6" s="203"/>
      <c r="O6" s="20"/>
      <c r="P6" s="19"/>
      <c r="Q6" s="19"/>
      <c r="R6" s="19"/>
      <c r="S6" s="175"/>
      <c r="T6" s="146"/>
      <c r="U6" s="175"/>
      <c r="V6" s="146"/>
      <c r="W6" s="177"/>
      <c r="X6" s="146"/>
      <c r="Y6" s="21"/>
    </row>
    <row r="7" spans="1:25" ht="12.75" hidden="1" customHeight="1" x14ac:dyDescent="0.2">
      <c r="A7" s="4"/>
      <c r="B7" s="18" t="s">
        <v>30</v>
      </c>
      <c r="C7" s="17"/>
      <c r="D7" s="16"/>
      <c r="E7" s="12" t="s">
        <v>24</v>
      </c>
      <c r="F7" s="15" t="s">
        <v>34</v>
      </c>
      <c r="G7" s="11" t="s">
        <v>52</v>
      </c>
      <c r="H7" s="11"/>
      <c r="I7" s="14"/>
      <c r="J7" s="13"/>
      <c r="K7" s="11"/>
      <c r="L7" s="12"/>
      <c r="M7" s="12"/>
      <c r="N7" s="11"/>
      <c r="O7" s="10" t="s">
        <v>106</v>
      </c>
      <c r="P7" s="10" t="s">
        <v>219</v>
      </c>
      <c r="Q7" s="10" t="s">
        <v>218</v>
      </c>
      <c r="R7" s="10" t="s">
        <v>217</v>
      </c>
      <c r="S7" s="9" t="s">
        <v>216</v>
      </c>
      <c r="T7" s="8"/>
      <c r="U7" s="8"/>
      <c r="V7" s="8"/>
      <c r="W7" s="8"/>
      <c r="X7" s="8"/>
      <c r="Y7" s="21"/>
    </row>
    <row r="8" spans="1:25" ht="32.25" customHeight="1" x14ac:dyDescent="0.2">
      <c r="A8" s="114"/>
      <c r="B8" s="64"/>
      <c r="C8" s="197" t="s">
        <v>418</v>
      </c>
      <c r="D8" s="198"/>
      <c r="E8" s="198"/>
      <c r="F8" s="198"/>
      <c r="G8" s="199"/>
      <c r="H8" s="48" t="s">
        <v>215</v>
      </c>
      <c r="I8" s="49" t="s">
        <v>19</v>
      </c>
      <c r="J8" s="49" t="s">
        <v>6</v>
      </c>
      <c r="K8" s="49" t="s">
        <v>6</v>
      </c>
      <c r="L8" s="50" t="s">
        <v>6</v>
      </c>
      <c r="M8" s="51" t="s">
        <v>210</v>
      </c>
      <c r="N8" s="52" t="s">
        <v>6</v>
      </c>
      <c r="O8" s="201"/>
      <c r="P8" s="201"/>
      <c r="Q8" s="201"/>
      <c r="R8" s="202"/>
      <c r="S8" s="112">
        <f>S9+S11+S13</f>
        <v>38761.300000000003</v>
      </c>
      <c r="T8" s="112">
        <f>T9+T11+T13</f>
        <v>0</v>
      </c>
      <c r="U8" s="112">
        <f>U9+U11+U13</f>
        <v>38761.300000000003</v>
      </c>
      <c r="V8" s="112">
        <f>V9+V11+V13</f>
        <v>2756.2000000000003</v>
      </c>
      <c r="W8" s="112">
        <f>W9+W11+W13</f>
        <v>41517.500000000007</v>
      </c>
      <c r="X8" s="73"/>
      <c r="Y8" s="21"/>
    </row>
    <row r="9" spans="1:25" ht="42.75" customHeight="1" x14ac:dyDescent="0.2">
      <c r="A9" s="114"/>
      <c r="B9" s="7"/>
      <c r="C9" s="134" t="s">
        <v>455</v>
      </c>
      <c r="D9" s="135"/>
      <c r="E9" s="135"/>
      <c r="F9" s="135"/>
      <c r="G9" s="135"/>
      <c r="H9" s="36" t="s">
        <v>214</v>
      </c>
      <c r="I9" s="37" t="s">
        <v>19</v>
      </c>
      <c r="J9" s="37" t="s">
        <v>30</v>
      </c>
      <c r="K9" s="37" t="s">
        <v>6</v>
      </c>
      <c r="L9" s="38" t="s">
        <v>6</v>
      </c>
      <c r="M9" s="39" t="s">
        <v>214</v>
      </c>
      <c r="N9" s="40" t="s">
        <v>6</v>
      </c>
      <c r="O9" s="132"/>
      <c r="P9" s="132"/>
      <c r="Q9" s="132"/>
      <c r="R9" s="133"/>
      <c r="S9" s="107">
        <f>SUM(S10)</f>
        <v>1500</v>
      </c>
      <c r="T9" s="107">
        <f>SUM(T10)</f>
        <v>0</v>
      </c>
      <c r="U9" s="107">
        <f>SUM(U10)</f>
        <v>1500</v>
      </c>
      <c r="V9" s="107">
        <f>SUM(V10)</f>
        <v>115.8</v>
      </c>
      <c r="W9" s="107">
        <f>SUM(W10)</f>
        <v>1615.8</v>
      </c>
      <c r="X9" s="65" t="s">
        <v>395</v>
      </c>
      <c r="Y9" s="21"/>
    </row>
    <row r="10" spans="1:25" ht="27" hidden="1" customHeight="1" outlineLevel="1" x14ac:dyDescent="0.2">
      <c r="A10" s="114"/>
      <c r="B10" s="7"/>
      <c r="C10" s="67"/>
      <c r="D10" s="144" t="s">
        <v>238</v>
      </c>
      <c r="E10" s="139"/>
      <c r="F10" s="139"/>
      <c r="G10" s="139"/>
      <c r="H10" s="41" t="s">
        <v>214</v>
      </c>
      <c r="I10" s="42" t="s">
        <v>19</v>
      </c>
      <c r="J10" s="42" t="s">
        <v>30</v>
      </c>
      <c r="K10" s="42" t="s">
        <v>19</v>
      </c>
      <c r="L10" s="43" t="s">
        <v>6</v>
      </c>
      <c r="M10" s="44" t="s">
        <v>214</v>
      </c>
      <c r="N10" s="6" t="s">
        <v>6</v>
      </c>
      <c r="O10" s="137"/>
      <c r="P10" s="137"/>
      <c r="Q10" s="137"/>
      <c r="R10" s="138"/>
      <c r="S10" s="109">
        <v>1500</v>
      </c>
      <c r="T10" s="109"/>
      <c r="U10" s="109">
        <f>SUM(S10:T10)</f>
        <v>1500</v>
      </c>
      <c r="V10" s="109">
        <v>115.8</v>
      </c>
      <c r="W10" s="109">
        <f>SUM(U10:V10)</f>
        <v>1615.8</v>
      </c>
      <c r="X10" s="66" t="s">
        <v>395</v>
      </c>
      <c r="Y10" s="21"/>
    </row>
    <row r="11" spans="1:25" ht="39.75" customHeight="1" collapsed="1" x14ac:dyDescent="0.2">
      <c r="A11" s="114"/>
      <c r="B11" s="7"/>
      <c r="C11" s="134" t="s">
        <v>428</v>
      </c>
      <c r="D11" s="135"/>
      <c r="E11" s="135"/>
      <c r="F11" s="135"/>
      <c r="G11" s="135"/>
      <c r="H11" s="36" t="s">
        <v>213</v>
      </c>
      <c r="I11" s="37" t="s">
        <v>19</v>
      </c>
      <c r="J11" s="37" t="s">
        <v>24</v>
      </c>
      <c r="K11" s="37" t="s">
        <v>6</v>
      </c>
      <c r="L11" s="38" t="s">
        <v>6</v>
      </c>
      <c r="M11" s="39" t="s">
        <v>213</v>
      </c>
      <c r="N11" s="40" t="s">
        <v>6</v>
      </c>
      <c r="O11" s="132"/>
      <c r="P11" s="132"/>
      <c r="Q11" s="132"/>
      <c r="R11" s="133"/>
      <c r="S11" s="107">
        <f>S12</f>
        <v>400</v>
      </c>
      <c r="T11" s="107">
        <f>T12</f>
        <v>0</v>
      </c>
      <c r="U11" s="107">
        <f>U12</f>
        <v>400</v>
      </c>
      <c r="V11" s="107">
        <f>V12</f>
        <v>-10</v>
      </c>
      <c r="W11" s="107">
        <f>W12</f>
        <v>390</v>
      </c>
      <c r="X11" s="65" t="s">
        <v>396</v>
      </c>
      <c r="Y11" s="21"/>
    </row>
    <row r="12" spans="1:25" ht="27" hidden="1" customHeight="1" outlineLevel="1" x14ac:dyDescent="0.2">
      <c r="A12" s="114"/>
      <c r="B12" s="7"/>
      <c r="C12" s="67"/>
      <c r="D12" s="139" t="s">
        <v>429</v>
      </c>
      <c r="E12" s="139"/>
      <c r="F12" s="139"/>
      <c r="G12" s="139"/>
      <c r="H12" s="41" t="s">
        <v>213</v>
      </c>
      <c r="I12" s="42" t="s">
        <v>19</v>
      </c>
      <c r="J12" s="42" t="s">
        <v>24</v>
      </c>
      <c r="K12" s="42" t="s">
        <v>19</v>
      </c>
      <c r="L12" s="43" t="s">
        <v>6</v>
      </c>
      <c r="M12" s="44" t="s">
        <v>213</v>
      </c>
      <c r="N12" s="6" t="s">
        <v>6</v>
      </c>
      <c r="O12" s="137"/>
      <c r="P12" s="137"/>
      <c r="Q12" s="137"/>
      <c r="R12" s="138"/>
      <c r="S12" s="109">
        <v>400</v>
      </c>
      <c r="T12" s="109"/>
      <c r="U12" s="109">
        <f>SUM(S12:T12)</f>
        <v>400</v>
      </c>
      <c r="V12" s="109">
        <v>-10</v>
      </c>
      <c r="W12" s="109">
        <f>SUM(U12:V12)</f>
        <v>390</v>
      </c>
      <c r="X12" s="66" t="s">
        <v>396</v>
      </c>
      <c r="Y12" s="21"/>
    </row>
    <row r="13" spans="1:25" ht="122.25" customHeight="1" collapsed="1" x14ac:dyDescent="0.2">
      <c r="A13" s="114"/>
      <c r="B13" s="7"/>
      <c r="C13" s="136" t="s">
        <v>239</v>
      </c>
      <c r="D13" s="135"/>
      <c r="E13" s="135"/>
      <c r="F13" s="135"/>
      <c r="G13" s="135"/>
      <c r="H13" s="36" t="s">
        <v>212</v>
      </c>
      <c r="I13" s="37" t="s">
        <v>19</v>
      </c>
      <c r="J13" s="37" t="s">
        <v>34</v>
      </c>
      <c r="K13" s="37" t="s">
        <v>6</v>
      </c>
      <c r="L13" s="38" t="s">
        <v>6</v>
      </c>
      <c r="M13" s="39" t="s">
        <v>210</v>
      </c>
      <c r="N13" s="40" t="s">
        <v>6</v>
      </c>
      <c r="O13" s="132"/>
      <c r="P13" s="132"/>
      <c r="Q13" s="132"/>
      <c r="R13" s="133"/>
      <c r="S13" s="107">
        <f>S14+S15</f>
        <v>36861.300000000003</v>
      </c>
      <c r="T13" s="107">
        <f>T14+T15</f>
        <v>0</v>
      </c>
      <c r="U13" s="107">
        <f>U14+U15</f>
        <v>36861.300000000003</v>
      </c>
      <c r="V13" s="107">
        <f>V14+V15</f>
        <v>2650.4</v>
      </c>
      <c r="W13" s="107">
        <f>W14+W15</f>
        <v>39511.700000000004</v>
      </c>
      <c r="X13" s="65" t="s">
        <v>486</v>
      </c>
      <c r="Y13" s="21"/>
    </row>
    <row r="14" spans="1:25" ht="12.75" hidden="1" customHeight="1" outlineLevel="1" x14ac:dyDescent="0.2">
      <c r="A14" s="114"/>
      <c r="B14" s="7"/>
      <c r="C14" s="67"/>
      <c r="D14" s="144" t="s">
        <v>240</v>
      </c>
      <c r="E14" s="139"/>
      <c r="F14" s="139"/>
      <c r="G14" s="139"/>
      <c r="H14" s="41" t="s">
        <v>211</v>
      </c>
      <c r="I14" s="42" t="s">
        <v>19</v>
      </c>
      <c r="J14" s="42" t="s">
        <v>34</v>
      </c>
      <c r="K14" s="42" t="s">
        <v>19</v>
      </c>
      <c r="L14" s="43" t="s">
        <v>6</v>
      </c>
      <c r="M14" s="44" t="s">
        <v>211</v>
      </c>
      <c r="N14" s="6" t="s">
        <v>6</v>
      </c>
      <c r="O14" s="137"/>
      <c r="P14" s="137"/>
      <c r="Q14" s="137"/>
      <c r="R14" s="138"/>
      <c r="S14" s="109">
        <v>36561.300000000003</v>
      </c>
      <c r="T14" s="109"/>
      <c r="U14" s="109">
        <f>SUM(S14:T14)</f>
        <v>36561.300000000003</v>
      </c>
      <c r="V14" s="109"/>
      <c r="W14" s="109">
        <f>SUM(U14:V14)</f>
        <v>36561.300000000003</v>
      </c>
      <c r="X14" s="66"/>
      <c r="Y14" s="21"/>
    </row>
    <row r="15" spans="1:25" ht="18.75" hidden="1" customHeight="1" outlineLevel="1" x14ac:dyDescent="0.2">
      <c r="A15" s="114"/>
      <c r="B15" s="7"/>
      <c r="C15" s="67"/>
      <c r="D15" s="144" t="s">
        <v>241</v>
      </c>
      <c r="E15" s="139"/>
      <c r="F15" s="139"/>
      <c r="G15" s="139"/>
      <c r="H15" s="41" t="s">
        <v>210</v>
      </c>
      <c r="I15" s="42" t="s">
        <v>19</v>
      </c>
      <c r="J15" s="42" t="s">
        <v>34</v>
      </c>
      <c r="K15" s="42" t="s">
        <v>16</v>
      </c>
      <c r="L15" s="43" t="s">
        <v>6</v>
      </c>
      <c r="M15" s="44" t="s">
        <v>210</v>
      </c>
      <c r="N15" s="6" t="s">
        <v>6</v>
      </c>
      <c r="O15" s="137"/>
      <c r="P15" s="137"/>
      <c r="Q15" s="137"/>
      <c r="R15" s="138"/>
      <c r="S15" s="109">
        <v>300</v>
      </c>
      <c r="T15" s="109"/>
      <c r="U15" s="109">
        <f>SUM(S15:T15)</f>
        <v>300</v>
      </c>
      <c r="V15" s="109">
        <v>2650.4</v>
      </c>
      <c r="W15" s="109">
        <f>SUM(U15:V15)</f>
        <v>2950.4</v>
      </c>
      <c r="X15" s="66" t="s">
        <v>397</v>
      </c>
      <c r="Y15" s="21"/>
    </row>
    <row r="16" spans="1:25" ht="47.25" customHeight="1" collapsed="1" x14ac:dyDescent="0.2">
      <c r="A16" s="114"/>
      <c r="B16" s="64"/>
      <c r="C16" s="147" t="s">
        <v>419</v>
      </c>
      <c r="D16" s="148"/>
      <c r="E16" s="148"/>
      <c r="F16" s="148"/>
      <c r="G16" s="149"/>
      <c r="H16" s="53" t="s">
        <v>209</v>
      </c>
      <c r="I16" s="54" t="s">
        <v>16</v>
      </c>
      <c r="J16" s="54" t="s">
        <v>6</v>
      </c>
      <c r="K16" s="54" t="s">
        <v>6</v>
      </c>
      <c r="L16" s="55" t="s">
        <v>6</v>
      </c>
      <c r="M16" s="56" t="s">
        <v>204</v>
      </c>
      <c r="N16" s="57" t="s">
        <v>6</v>
      </c>
      <c r="O16" s="142"/>
      <c r="P16" s="142"/>
      <c r="Q16" s="142"/>
      <c r="R16" s="143"/>
      <c r="S16" s="110">
        <f>SUM(S17+S18+S19+S20)</f>
        <v>4521.5</v>
      </c>
      <c r="T16" s="110">
        <f>SUM(T17+T18+T19+T20)</f>
        <v>0</v>
      </c>
      <c r="U16" s="110">
        <f>SUM(U17+U18+U19+U20)</f>
        <v>4521.5</v>
      </c>
      <c r="V16" s="110">
        <f>SUM(V17+V18+V19+V20)</f>
        <v>-2.6</v>
      </c>
      <c r="W16" s="110">
        <f>SUM(W17+W18+W19+W20)</f>
        <v>4518.8999999999996</v>
      </c>
      <c r="X16" s="74" t="s">
        <v>459</v>
      </c>
      <c r="Y16" s="21"/>
    </row>
    <row r="17" spans="1:25" ht="21.75" hidden="1" customHeight="1" outlineLevel="1" x14ac:dyDescent="0.2">
      <c r="A17" s="114"/>
      <c r="B17" s="7"/>
      <c r="C17" s="67"/>
      <c r="D17" s="139" t="s">
        <v>430</v>
      </c>
      <c r="E17" s="139"/>
      <c r="F17" s="139"/>
      <c r="G17" s="139"/>
      <c r="H17" s="41" t="s">
        <v>208</v>
      </c>
      <c r="I17" s="42" t="s">
        <v>16</v>
      </c>
      <c r="J17" s="42" t="s">
        <v>4</v>
      </c>
      <c r="K17" s="42" t="s">
        <v>19</v>
      </c>
      <c r="L17" s="43" t="s">
        <v>6</v>
      </c>
      <c r="M17" s="44" t="s">
        <v>207</v>
      </c>
      <c r="N17" s="6" t="s">
        <v>6</v>
      </c>
      <c r="O17" s="137"/>
      <c r="P17" s="137"/>
      <c r="Q17" s="137"/>
      <c r="R17" s="138"/>
      <c r="S17" s="109">
        <v>3411</v>
      </c>
      <c r="T17" s="109"/>
      <c r="U17" s="109">
        <f t="shared" ref="U17:U49" si="0">SUM(S17:T17)</f>
        <v>3411</v>
      </c>
      <c r="V17" s="109"/>
      <c r="W17" s="109">
        <f t="shared" ref="W17:W49" si="1">SUM(U17:V17)</f>
        <v>3411</v>
      </c>
      <c r="X17" s="66"/>
      <c r="Y17" s="21"/>
    </row>
    <row r="18" spans="1:25" ht="32.25" hidden="1" customHeight="1" outlineLevel="1" x14ac:dyDescent="0.2">
      <c r="A18" s="114"/>
      <c r="B18" s="7"/>
      <c r="C18" s="67"/>
      <c r="D18" s="144" t="s">
        <v>242</v>
      </c>
      <c r="E18" s="139"/>
      <c r="F18" s="139"/>
      <c r="G18" s="139"/>
      <c r="H18" s="41" t="s">
        <v>206</v>
      </c>
      <c r="I18" s="42" t="s">
        <v>16</v>
      </c>
      <c r="J18" s="42" t="s">
        <v>4</v>
      </c>
      <c r="K18" s="42" t="s">
        <v>16</v>
      </c>
      <c r="L18" s="43" t="s">
        <v>6</v>
      </c>
      <c r="M18" s="44" t="s">
        <v>206</v>
      </c>
      <c r="N18" s="6" t="s">
        <v>6</v>
      </c>
      <c r="O18" s="137"/>
      <c r="P18" s="137"/>
      <c r="Q18" s="137"/>
      <c r="R18" s="138"/>
      <c r="S18" s="109">
        <v>0.5</v>
      </c>
      <c r="T18" s="109"/>
      <c r="U18" s="109">
        <f t="shared" si="0"/>
        <v>0.5</v>
      </c>
      <c r="V18" s="109"/>
      <c r="W18" s="109">
        <f t="shared" si="1"/>
        <v>0.5</v>
      </c>
      <c r="X18" s="66"/>
      <c r="Y18" s="21"/>
    </row>
    <row r="19" spans="1:25" ht="42.75" hidden="1" customHeight="1" outlineLevel="1" x14ac:dyDescent="0.2">
      <c r="A19" s="114"/>
      <c r="B19" s="7"/>
      <c r="C19" s="67"/>
      <c r="D19" s="144" t="s">
        <v>243</v>
      </c>
      <c r="E19" s="139"/>
      <c r="F19" s="139"/>
      <c r="G19" s="139"/>
      <c r="H19" s="41" t="s">
        <v>205</v>
      </c>
      <c r="I19" s="42" t="s">
        <v>16</v>
      </c>
      <c r="J19" s="42" t="s">
        <v>4</v>
      </c>
      <c r="K19" s="42" t="s">
        <v>33</v>
      </c>
      <c r="L19" s="43" t="s">
        <v>6</v>
      </c>
      <c r="M19" s="44" t="s">
        <v>205</v>
      </c>
      <c r="N19" s="6" t="s">
        <v>6</v>
      </c>
      <c r="O19" s="137"/>
      <c r="P19" s="137"/>
      <c r="Q19" s="137"/>
      <c r="R19" s="138"/>
      <c r="S19" s="109">
        <v>1100</v>
      </c>
      <c r="T19" s="109"/>
      <c r="U19" s="109">
        <f t="shared" si="0"/>
        <v>1100</v>
      </c>
      <c r="V19" s="109">
        <v>-2.6</v>
      </c>
      <c r="W19" s="109">
        <f t="shared" si="1"/>
        <v>1097.4000000000001</v>
      </c>
      <c r="X19" s="66" t="s">
        <v>398</v>
      </c>
      <c r="Y19" s="21"/>
    </row>
    <row r="20" spans="1:25" ht="12.75" hidden="1" customHeight="1" outlineLevel="1" x14ac:dyDescent="0.2">
      <c r="A20" s="114"/>
      <c r="B20" s="7"/>
      <c r="C20" s="67"/>
      <c r="D20" s="139" t="s">
        <v>431</v>
      </c>
      <c r="E20" s="139"/>
      <c r="F20" s="139"/>
      <c r="G20" s="139"/>
      <c r="H20" s="41" t="s">
        <v>204</v>
      </c>
      <c r="I20" s="42" t="s">
        <v>16</v>
      </c>
      <c r="J20" s="42" t="s">
        <v>4</v>
      </c>
      <c r="K20" s="42" t="s">
        <v>14</v>
      </c>
      <c r="L20" s="43" t="s">
        <v>6</v>
      </c>
      <c r="M20" s="44" t="s">
        <v>204</v>
      </c>
      <c r="N20" s="6" t="s">
        <v>6</v>
      </c>
      <c r="O20" s="137"/>
      <c r="P20" s="137"/>
      <c r="Q20" s="137"/>
      <c r="R20" s="138"/>
      <c r="S20" s="109">
        <v>10</v>
      </c>
      <c r="T20" s="109"/>
      <c r="U20" s="109">
        <f t="shared" si="0"/>
        <v>10</v>
      </c>
      <c r="V20" s="109"/>
      <c r="W20" s="109">
        <f t="shared" si="1"/>
        <v>10</v>
      </c>
      <c r="X20" s="66"/>
      <c r="Y20" s="21"/>
    </row>
    <row r="21" spans="1:25" ht="22.5" collapsed="1" x14ac:dyDescent="0.2">
      <c r="A21" s="114"/>
      <c r="B21" s="64"/>
      <c r="C21" s="147" t="s">
        <v>420</v>
      </c>
      <c r="D21" s="148"/>
      <c r="E21" s="148"/>
      <c r="F21" s="148"/>
      <c r="G21" s="149"/>
      <c r="H21" s="53" t="s">
        <v>203</v>
      </c>
      <c r="I21" s="54" t="s">
        <v>33</v>
      </c>
      <c r="J21" s="54" t="s">
        <v>6</v>
      </c>
      <c r="K21" s="54" t="s">
        <v>6</v>
      </c>
      <c r="L21" s="55" t="s">
        <v>6</v>
      </c>
      <c r="M21" s="56" t="s">
        <v>197</v>
      </c>
      <c r="N21" s="57" t="s">
        <v>6</v>
      </c>
      <c r="O21" s="142"/>
      <c r="P21" s="142"/>
      <c r="Q21" s="142"/>
      <c r="R21" s="143"/>
      <c r="S21" s="110">
        <f>SUM(S22+S23+S24)</f>
        <v>4860.5</v>
      </c>
      <c r="T21" s="110">
        <f>SUM(T22+T23+T24)</f>
        <v>0</v>
      </c>
      <c r="U21" s="110">
        <f>SUM(U22+U23+U24)</f>
        <v>4860.5</v>
      </c>
      <c r="V21" s="110">
        <f>SUM(V22+V23+V24)</f>
        <v>4008.2</v>
      </c>
      <c r="W21" s="110">
        <f>SUM(W22+W23+W24)</f>
        <v>8868.7000000000007</v>
      </c>
      <c r="X21" s="75"/>
      <c r="Y21" s="21"/>
    </row>
    <row r="22" spans="1:25" ht="21.75" hidden="1" customHeight="1" x14ac:dyDescent="0.2">
      <c r="A22" s="114"/>
      <c r="B22" s="7"/>
      <c r="C22" s="67"/>
      <c r="D22" s="150" t="s">
        <v>244</v>
      </c>
      <c r="E22" s="135"/>
      <c r="F22" s="135"/>
      <c r="G22" s="135"/>
      <c r="H22" s="36" t="s">
        <v>202</v>
      </c>
      <c r="I22" s="37" t="s">
        <v>33</v>
      </c>
      <c r="J22" s="37" t="s">
        <v>4</v>
      </c>
      <c r="K22" s="37" t="s">
        <v>201</v>
      </c>
      <c r="L22" s="38" t="s">
        <v>6</v>
      </c>
      <c r="M22" s="39" t="s">
        <v>200</v>
      </c>
      <c r="N22" s="40" t="s">
        <v>6</v>
      </c>
      <c r="O22" s="132"/>
      <c r="P22" s="132"/>
      <c r="Q22" s="132"/>
      <c r="R22" s="133"/>
      <c r="S22" s="107">
        <v>4219.6000000000004</v>
      </c>
      <c r="T22" s="107"/>
      <c r="U22" s="107">
        <f t="shared" si="0"/>
        <v>4219.6000000000004</v>
      </c>
      <c r="V22" s="107"/>
      <c r="W22" s="107">
        <f t="shared" si="1"/>
        <v>4219.6000000000004</v>
      </c>
      <c r="X22" s="65"/>
      <c r="Y22" s="21"/>
    </row>
    <row r="23" spans="1:25" ht="12.75" hidden="1" customHeight="1" x14ac:dyDescent="0.2">
      <c r="A23" s="114"/>
      <c r="B23" s="7"/>
      <c r="C23" s="67"/>
      <c r="D23" s="150" t="s">
        <v>245</v>
      </c>
      <c r="E23" s="135"/>
      <c r="F23" s="135"/>
      <c r="G23" s="135"/>
      <c r="H23" s="36" t="s">
        <v>199</v>
      </c>
      <c r="I23" s="37" t="s">
        <v>33</v>
      </c>
      <c r="J23" s="37" t="s">
        <v>4</v>
      </c>
      <c r="K23" s="37" t="s">
        <v>198</v>
      </c>
      <c r="L23" s="38" t="s">
        <v>6</v>
      </c>
      <c r="M23" s="39" t="s">
        <v>197</v>
      </c>
      <c r="N23" s="40" t="s">
        <v>6</v>
      </c>
      <c r="O23" s="132"/>
      <c r="P23" s="132"/>
      <c r="Q23" s="132"/>
      <c r="R23" s="133"/>
      <c r="S23" s="107">
        <v>640.9</v>
      </c>
      <c r="T23" s="107"/>
      <c r="U23" s="107">
        <f t="shared" si="0"/>
        <v>640.9</v>
      </c>
      <c r="V23" s="107"/>
      <c r="W23" s="107">
        <f t="shared" si="1"/>
        <v>640.9</v>
      </c>
      <c r="X23" s="65"/>
      <c r="Y23" s="21"/>
    </row>
    <row r="24" spans="1:25" ht="90" customHeight="1" x14ac:dyDescent="0.2">
      <c r="A24" s="114"/>
      <c r="B24" s="79"/>
      <c r="C24" s="67"/>
      <c r="D24" s="160" t="s">
        <v>363</v>
      </c>
      <c r="E24" s="160"/>
      <c r="F24" s="160"/>
      <c r="G24" s="161"/>
      <c r="H24" s="36"/>
      <c r="I24" s="80" t="s">
        <v>33</v>
      </c>
      <c r="J24" s="80">
        <v>0</v>
      </c>
      <c r="K24" s="80" t="s">
        <v>11</v>
      </c>
      <c r="L24" s="38"/>
      <c r="M24" s="39"/>
      <c r="N24" s="40"/>
      <c r="O24" s="106"/>
      <c r="P24" s="106"/>
      <c r="Q24" s="106"/>
      <c r="R24" s="107"/>
      <c r="S24" s="107">
        <v>0</v>
      </c>
      <c r="T24" s="107"/>
      <c r="U24" s="107">
        <v>0</v>
      </c>
      <c r="V24" s="107">
        <f>2108.6+212.7+1246+286.9+154</f>
        <v>4008.2</v>
      </c>
      <c r="W24" s="107">
        <f t="shared" si="1"/>
        <v>4008.2</v>
      </c>
      <c r="X24" s="65" t="s">
        <v>405</v>
      </c>
      <c r="Y24" s="21"/>
    </row>
    <row r="25" spans="1:25" ht="37.5" customHeight="1" x14ac:dyDescent="0.2">
      <c r="A25" s="114"/>
      <c r="B25" s="64"/>
      <c r="C25" s="147" t="s">
        <v>378</v>
      </c>
      <c r="D25" s="148"/>
      <c r="E25" s="148"/>
      <c r="F25" s="148"/>
      <c r="G25" s="149"/>
      <c r="H25" s="53" t="s">
        <v>196</v>
      </c>
      <c r="I25" s="54" t="s">
        <v>14</v>
      </c>
      <c r="J25" s="54" t="s">
        <v>6</v>
      </c>
      <c r="K25" s="54" t="s">
        <v>6</v>
      </c>
      <c r="L25" s="55" t="s">
        <v>6</v>
      </c>
      <c r="M25" s="56" t="s">
        <v>190</v>
      </c>
      <c r="N25" s="57" t="s">
        <v>6</v>
      </c>
      <c r="O25" s="142"/>
      <c r="P25" s="142"/>
      <c r="Q25" s="142"/>
      <c r="R25" s="143"/>
      <c r="S25" s="110">
        <f>S26+S28+S31</f>
        <v>1230</v>
      </c>
      <c r="T25" s="110">
        <f>T26+T28+T31</f>
        <v>0</v>
      </c>
      <c r="U25" s="110">
        <f t="shared" si="0"/>
        <v>1230</v>
      </c>
      <c r="V25" s="110">
        <f>V26+V28+V31</f>
        <v>24.999999999999986</v>
      </c>
      <c r="W25" s="110">
        <f t="shared" si="1"/>
        <v>1255</v>
      </c>
      <c r="X25" s="74"/>
      <c r="Y25" s="21"/>
    </row>
    <row r="26" spans="1:25" ht="37.5" customHeight="1" x14ac:dyDescent="0.2">
      <c r="A26" s="114"/>
      <c r="B26" s="7"/>
      <c r="C26" s="136" t="s">
        <v>246</v>
      </c>
      <c r="D26" s="135"/>
      <c r="E26" s="135"/>
      <c r="F26" s="135"/>
      <c r="G26" s="135"/>
      <c r="H26" s="36" t="s">
        <v>195</v>
      </c>
      <c r="I26" s="37" t="s">
        <v>14</v>
      </c>
      <c r="J26" s="37" t="s">
        <v>30</v>
      </c>
      <c r="K26" s="37" t="s">
        <v>6</v>
      </c>
      <c r="L26" s="38" t="s">
        <v>6</v>
      </c>
      <c r="M26" s="39" t="s">
        <v>194</v>
      </c>
      <c r="N26" s="40" t="s">
        <v>6</v>
      </c>
      <c r="O26" s="132"/>
      <c r="P26" s="132"/>
      <c r="Q26" s="132"/>
      <c r="R26" s="133"/>
      <c r="S26" s="107">
        <f>SUM(S27)</f>
        <v>1000</v>
      </c>
      <c r="T26" s="107">
        <f>SUM(T27)</f>
        <v>0</v>
      </c>
      <c r="U26" s="107">
        <f t="shared" si="0"/>
        <v>1000</v>
      </c>
      <c r="V26" s="107">
        <f>SUM(V27)</f>
        <v>-124.60000000000001</v>
      </c>
      <c r="W26" s="107">
        <f t="shared" si="1"/>
        <v>875.4</v>
      </c>
      <c r="X26" s="65" t="s">
        <v>370</v>
      </c>
      <c r="Y26" s="21"/>
    </row>
    <row r="27" spans="1:25" ht="45.75" hidden="1" customHeight="1" outlineLevel="1" x14ac:dyDescent="0.2">
      <c r="A27" s="114"/>
      <c r="B27" s="7"/>
      <c r="C27" s="67"/>
      <c r="D27" s="144" t="s">
        <v>353</v>
      </c>
      <c r="E27" s="139"/>
      <c r="F27" s="139"/>
      <c r="G27" s="139"/>
      <c r="H27" s="41" t="s">
        <v>195</v>
      </c>
      <c r="I27" s="42" t="s">
        <v>14</v>
      </c>
      <c r="J27" s="42" t="s">
        <v>30</v>
      </c>
      <c r="K27" s="42" t="s">
        <v>19</v>
      </c>
      <c r="L27" s="43" t="s">
        <v>6</v>
      </c>
      <c r="M27" s="44" t="s">
        <v>194</v>
      </c>
      <c r="N27" s="6" t="s">
        <v>6</v>
      </c>
      <c r="O27" s="137"/>
      <c r="P27" s="137"/>
      <c r="Q27" s="137"/>
      <c r="R27" s="138"/>
      <c r="S27" s="109">
        <v>1000</v>
      </c>
      <c r="T27" s="109"/>
      <c r="U27" s="109">
        <f t="shared" si="0"/>
        <v>1000</v>
      </c>
      <c r="V27" s="109">
        <f>-125.4+0.8</f>
        <v>-124.60000000000001</v>
      </c>
      <c r="W27" s="109">
        <f t="shared" si="1"/>
        <v>875.4</v>
      </c>
      <c r="X27" s="66" t="s">
        <v>446</v>
      </c>
      <c r="Y27" s="21"/>
    </row>
    <row r="28" spans="1:25" ht="31.5" customHeight="1" collapsed="1" x14ac:dyDescent="0.2">
      <c r="A28" s="114"/>
      <c r="B28" s="7"/>
      <c r="C28" s="136" t="s">
        <v>249</v>
      </c>
      <c r="D28" s="135"/>
      <c r="E28" s="135"/>
      <c r="F28" s="135"/>
      <c r="G28" s="135"/>
      <c r="H28" s="36" t="s">
        <v>193</v>
      </c>
      <c r="I28" s="37" t="s">
        <v>14</v>
      </c>
      <c r="J28" s="37" t="s">
        <v>24</v>
      </c>
      <c r="K28" s="37" t="s">
        <v>6</v>
      </c>
      <c r="L28" s="38" t="s">
        <v>6</v>
      </c>
      <c r="M28" s="39" t="s">
        <v>191</v>
      </c>
      <c r="N28" s="40" t="s">
        <v>6</v>
      </c>
      <c r="O28" s="132"/>
      <c r="P28" s="132"/>
      <c r="Q28" s="132"/>
      <c r="R28" s="133"/>
      <c r="S28" s="107">
        <f>S29+S30</f>
        <v>30</v>
      </c>
      <c r="T28" s="107">
        <f>T29+T30</f>
        <v>0</v>
      </c>
      <c r="U28" s="107">
        <f t="shared" si="0"/>
        <v>30</v>
      </c>
      <c r="V28" s="107">
        <f>V29+V30</f>
        <v>0</v>
      </c>
      <c r="W28" s="107">
        <f t="shared" si="1"/>
        <v>30</v>
      </c>
      <c r="X28" s="65"/>
      <c r="Y28" s="21"/>
    </row>
    <row r="29" spans="1:25" ht="12.75" hidden="1" customHeight="1" outlineLevel="1" x14ac:dyDescent="0.2">
      <c r="A29" s="114"/>
      <c r="B29" s="7"/>
      <c r="C29" s="67"/>
      <c r="D29" s="144" t="s">
        <v>247</v>
      </c>
      <c r="E29" s="139"/>
      <c r="F29" s="139"/>
      <c r="G29" s="139"/>
      <c r="H29" s="41" t="s">
        <v>192</v>
      </c>
      <c r="I29" s="42" t="s">
        <v>14</v>
      </c>
      <c r="J29" s="42" t="s">
        <v>24</v>
      </c>
      <c r="K29" s="42" t="s">
        <v>16</v>
      </c>
      <c r="L29" s="43" t="s">
        <v>6</v>
      </c>
      <c r="M29" s="44" t="s">
        <v>192</v>
      </c>
      <c r="N29" s="6" t="s">
        <v>6</v>
      </c>
      <c r="O29" s="137"/>
      <c r="P29" s="137"/>
      <c r="Q29" s="137"/>
      <c r="R29" s="138"/>
      <c r="S29" s="109">
        <v>10</v>
      </c>
      <c r="T29" s="109"/>
      <c r="U29" s="109">
        <f t="shared" si="0"/>
        <v>10</v>
      </c>
      <c r="V29" s="109"/>
      <c r="W29" s="109">
        <f t="shared" si="1"/>
        <v>10</v>
      </c>
      <c r="X29" s="66"/>
      <c r="Y29" s="21"/>
    </row>
    <row r="30" spans="1:25" ht="28.5" hidden="1" customHeight="1" outlineLevel="1" x14ac:dyDescent="0.2">
      <c r="A30" s="114"/>
      <c r="B30" s="7"/>
      <c r="C30" s="67"/>
      <c r="D30" s="144" t="s">
        <v>248</v>
      </c>
      <c r="E30" s="139"/>
      <c r="F30" s="139"/>
      <c r="G30" s="139"/>
      <c r="H30" s="41" t="s">
        <v>191</v>
      </c>
      <c r="I30" s="42" t="s">
        <v>14</v>
      </c>
      <c r="J30" s="42" t="s">
        <v>24</v>
      </c>
      <c r="K30" s="42" t="s">
        <v>33</v>
      </c>
      <c r="L30" s="43" t="s">
        <v>6</v>
      </c>
      <c r="M30" s="44" t="s">
        <v>191</v>
      </c>
      <c r="N30" s="6" t="s">
        <v>6</v>
      </c>
      <c r="O30" s="137"/>
      <c r="P30" s="137"/>
      <c r="Q30" s="137"/>
      <c r="R30" s="138"/>
      <c r="S30" s="109">
        <v>20</v>
      </c>
      <c r="T30" s="109"/>
      <c r="U30" s="109">
        <f t="shared" si="0"/>
        <v>20</v>
      </c>
      <c r="V30" s="109"/>
      <c r="W30" s="109">
        <f t="shared" si="1"/>
        <v>20</v>
      </c>
      <c r="X30" s="66"/>
      <c r="Y30" s="21"/>
    </row>
    <row r="31" spans="1:25" ht="44.25" customHeight="1" collapsed="1" x14ac:dyDescent="0.2">
      <c r="A31" s="114"/>
      <c r="B31" s="7"/>
      <c r="C31" s="136" t="s">
        <v>250</v>
      </c>
      <c r="D31" s="135"/>
      <c r="E31" s="135"/>
      <c r="F31" s="135"/>
      <c r="G31" s="135"/>
      <c r="H31" s="36" t="s">
        <v>190</v>
      </c>
      <c r="I31" s="37" t="s">
        <v>14</v>
      </c>
      <c r="J31" s="37" t="s">
        <v>34</v>
      </c>
      <c r="K31" s="37" t="s">
        <v>6</v>
      </c>
      <c r="L31" s="38" t="s">
        <v>6</v>
      </c>
      <c r="M31" s="39" t="s">
        <v>190</v>
      </c>
      <c r="N31" s="40" t="s">
        <v>6</v>
      </c>
      <c r="O31" s="132"/>
      <c r="P31" s="132"/>
      <c r="Q31" s="132"/>
      <c r="R31" s="133"/>
      <c r="S31" s="107">
        <f>S32</f>
        <v>200</v>
      </c>
      <c r="T31" s="107">
        <f>T32</f>
        <v>0</v>
      </c>
      <c r="U31" s="107">
        <f t="shared" si="0"/>
        <v>200</v>
      </c>
      <c r="V31" s="107">
        <f>V32</f>
        <v>149.6</v>
      </c>
      <c r="W31" s="107">
        <f t="shared" si="1"/>
        <v>349.6</v>
      </c>
      <c r="X31" s="65" t="s">
        <v>445</v>
      </c>
      <c r="Y31" s="21"/>
    </row>
    <row r="32" spans="1:25" ht="84" hidden="1" customHeight="1" outlineLevel="1" x14ac:dyDescent="0.2">
      <c r="A32" s="114"/>
      <c r="B32" s="7"/>
      <c r="C32" s="67"/>
      <c r="D32" s="139" t="s">
        <v>383</v>
      </c>
      <c r="E32" s="139"/>
      <c r="F32" s="139"/>
      <c r="G32" s="139"/>
      <c r="H32" s="41" t="s">
        <v>190</v>
      </c>
      <c r="I32" s="42" t="s">
        <v>14</v>
      </c>
      <c r="J32" s="42" t="s">
        <v>34</v>
      </c>
      <c r="K32" s="42" t="s">
        <v>19</v>
      </c>
      <c r="L32" s="43" t="s">
        <v>6</v>
      </c>
      <c r="M32" s="44" t="s">
        <v>190</v>
      </c>
      <c r="N32" s="6" t="s">
        <v>6</v>
      </c>
      <c r="O32" s="137"/>
      <c r="P32" s="137"/>
      <c r="Q32" s="137"/>
      <c r="R32" s="138"/>
      <c r="S32" s="109">
        <v>200</v>
      </c>
      <c r="T32" s="109"/>
      <c r="U32" s="109">
        <f t="shared" si="0"/>
        <v>200</v>
      </c>
      <c r="V32" s="109">
        <f>125.4+25-0.8</f>
        <v>149.6</v>
      </c>
      <c r="W32" s="109">
        <f t="shared" si="1"/>
        <v>349.6</v>
      </c>
      <c r="X32" s="66" t="s">
        <v>444</v>
      </c>
      <c r="Y32" s="21"/>
    </row>
    <row r="33" spans="1:25" ht="27.75" customHeight="1" collapsed="1" x14ac:dyDescent="0.2">
      <c r="A33" s="114"/>
      <c r="B33" s="64"/>
      <c r="C33" s="147" t="s">
        <v>432</v>
      </c>
      <c r="D33" s="148"/>
      <c r="E33" s="148"/>
      <c r="F33" s="148"/>
      <c r="G33" s="149"/>
      <c r="H33" s="53" t="s">
        <v>189</v>
      </c>
      <c r="I33" s="54" t="s">
        <v>11</v>
      </c>
      <c r="J33" s="54" t="s">
        <v>6</v>
      </c>
      <c r="K33" s="54" t="s">
        <v>6</v>
      </c>
      <c r="L33" s="55" t="s">
        <v>6</v>
      </c>
      <c r="M33" s="56" t="s">
        <v>186</v>
      </c>
      <c r="N33" s="57" t="s">
        <v>6</v>
      </c>
      <c r="O33" s="142"/>
      <c r="P33" s="142"/>
      <c r="Q33" s="142"/>
      <c r="R33" s="143"/>
      <c r="S33" s="110">
        <f>S34+S36</f>
        <v>37364.5</v>
      </c>
      <c r="T33" s="110">
        <f>T34+T36</f>
        <v>0</v>
      </c>
      <c r="U33" s="110">
        <f t="shared" si="0"/>
        <v>37364.5</v>
      </c>
      <c r="V33" s="110">
        <f>V34+V36</f>
        <v>0</v>
      </c>
      <c r="W33" s="110">
        <f t="shared" si="1"/>
        <v>37364.5</v>
      </c>
      <c r="X33" s="74"/>
      <c r="Y33" s="21"/>
    </row>
    <row r="34" spans="1:25" ht="19.5" hidden="1" customHeight="1" x14ac:dyDescent="0.2">
      <c r="A34" s="114"/>
      <c r="B34" s="7"/>
      <c r="C34" s="136" t="s">
        <v>251</v>
      </c>
      <c r="D34" s="135"/>
      <c r="E34" s="135"/>
      <c r="F34" s="135"/>
      <c r="G34" s="135"/>
      <c r="H34" s="36" t="s">
        <v>188</v>
      </c>
      <c r="I34" s="37" t="s">
        <v>11</v>
      </c>
      <c r="J34" s="37" t="s">
        <v>30</v>
      </c>
      <c r="K34" s="37" t="s">
        <v>6</v>
      </c>
      <c r="L34" s="38" t="s">
        <v>6</v>
      </c>
      <c r="M34" s="39" t="s">
        <v>187</v>
      </c>
      <c r="N34" s="40" t="s">
        <v>6</v>
      </c>
      <c r="O34" s="132"/>
      <c r="P34" s="132"/>
      <c r="Q34" s="132"/>
      <c r="R34" s="133"/>
      <c r="S34" s="107">
        <f>S35</f>
        <v>33187.5</v>
      </c>
      <c r="T34" s="107">
        <f>T35</f>
        <v>0</v>
      </c>
      <c r="U34" s="107">
        <f t="shared" si="0"/>
        <v>33187.5</v>
      </c>
      <c r="V34" s="107">
        <f>V35</f>
        <v>0</v>
      </c>
      <c r="W34" s="107">
        <f t="shared" si="1"/>
        <v>33187.5</v>
      </c>
      <c r="X34" s="65"/>
      <c r="Y34" s="21"/>
    </row>
    <row r="35" spans="1:25" ht="19.5" hidden="1" customHeight="1" outlineLevel="1" x14ac:dyDescent="0.2">
      <c r="A35" s="114"/>
      <c r="B35" s="7"/>
      <c r="C35" s="67"/>
      <c r="D35" s="144" t="s">
        <v>252</v>
      </c>
      <c r="E35" s="139"/>
      <c r="F35" s="139"/>
      <c r="G35" s="139"/>
      <c r="H35" s="41" t="s">
        <v>188</v>
      </c>
      <c r="I35" s="42" t="s">
        <v>11</v>
      </c>
      <c r="J35" s="42" t="s">
        <v>30</v>
      </c>
      <c r="K35" s="42" t="s">
        <v>19</v>
      </c>
      <c r="L35" s="43" t="s">
        <v>6</v>
      </c>
      <c r="M35" s="44" t="s">
        <v>187</v>
      </c>
      <c r="N35" s="6" t="s">
        <v>6</v>
      </c>
      <c r="O35" s="137"/>
      <c r="P35" s="137"/>
      <c r="Q35" s="137"/>
      <c r="R35" s="138"/>
      <c r="S35" s="109">
        <v>33187.5</v>
      </c>
      <c r="T35" s="109"/>
      <c r="U35" s="109">
        <f t="shared" si="0"/>
        <v>33187.5</v>
      </c>
      <c r="V35" s="109"/>
      <c r="W35" s="109">
        <f t="shared" si="1"/>
        <v>33187.5</v>
      </c>
      <c r="X35" s="66"/>
      <c r="Y35" s="21"/>
    </row>
    <row r="36" spans="1:25" ht="27" customHeight="1" collapsed="1" x14ac:dyDescent="0.2">
      <c r="A36" s="114"/>
      <c r="B36" s="7"/>
      <c r="C36" s="136" t="s">
        <v>351</v>
      </c>
      <c r="D36" s="135"/>
      <c r="E36" s="135"/>
      <c r="F36" s="135"/>
      <c r="G36" s="135"/>
      <c r="H36" s="36" t="s">
        <v>186</v>
      </c>
      <c r="I36" s="37" t="s">
        <v>11</v>
      </c>
      <c r="J36" s="37" t="s">
        <v>24</v>
      </c>
      <c r="K36" s="37" t="s">
        <v>6</v>
      </c>
      <c r="L36" s="38" t="s">
        <v>6</v>
      </c>
      <c r="M36" s="39" t="s">
        <v>186</v>
      </c>
      <c r="N36" s="40" t="s">
        <v>6</v>
      </c>
      <c r="O36" s="132"/>
      <c r="P36" s="132"/>
      <c r="Q36" s="132"/>
      <c r="R36" s="133"/>
      <c r="S36" s="107">
        <f>S37</f>
        <v>4177</v>
      </c>
      <c r="T36" s="107">
        <f>T37</f>
        <v>0</v>
      </c>
      <c r="U36" s="107">
        <f t="shared" si="0"/>
        <v>4177</v>
      </c>
      <c r="V36" s="107">
        <f>V37</f>
        <v>0</v>
      </c>
      <c r="W36" s="107">
        <f t="shared" si="1"/>
        <v>4177</v>
      </c>
      <c r="X36" s="65"/>
      <c r="Y36" s="21"/>
    </row>
    <row r="37" spans="1:25" ht="19.5" hidden="1" customHeight="1" outlineLevel="1" x14ac:dyDescent="0.2">
      <c r="A37" s="114"/>
      <c r="B37" s="7"/>
      <c r="C37" s="67"/>
      <c r="D37" s="144" t="s">
        <v>253</v>
      </c>
      <c r="E37" s="139"/>
      <c r="F37" s="139"/>
      <c r="G37" s="139"/>
      <c r="H37" s="41" t="s">
        <v>186</v>
      </c>
      <c r="I37" s="42" t="s">
        <v>11</v>
      </c>
      <c r="J37" s="42" t="s">
        <v>24</v>
      </c>
      <c r="K37" s="42" t="s">
        <v>19</v>
      </c>
      <c r="L37" s="43" t="s">
        <v>6</v>
      </c>
      <c r="M37" s="44" t="s">
        <v>186</v>
      </c>
      <c r="N37" s="6" t="s">
        <v>6</v>
      </c>
      <c r="O37" s="137"/>
      <c r="P37" s="137"/>
      <c r="Q37" s="137"/>
      <c r="R37" s="138"/>
      <c r="S37" s="109">
        <v>4177</v>
      </c>
      <c r="T37" s="109"/>
      <c r="U37" s="109">
        <f t="shared" si="0"/>
        <v>4177</v>
      </c>
      <c r="V37" s="109"/>
      <c r="W37" s="109">
        <f t="shared" si="1"/>
        <v>4177</v>
      </c>
      <c r="X37" s="66"/>
      <c r="Y37" s="21"/>
    </row>
    <row r="38" spans="1:25" ht="53.25" customHeight="1" collapsed="1" x14ac:dyDescent="0.2">
      <c r="A38" s="114"/>
      <c r="B38" s="64"/>
      <c r="C38" s="147" t="s">
        <v>384</v>
      </c>
      <c r="D38" s="158"/>
      <c r="E38" s="158"/>
      <c r="F38" s="158"/>
      <c r="G38" s="159"/>
      <c r="H38" s="92" t="s">
        <v>185</v>
      </c>
      <c r="I38" s="93" t="s">
        <v>8</v>
      </c>
      <c r="J38" s="93" t="s">
        <v>6</v>
      </c>
      <c r="K38" s="93" t="s">
        <v>6</v>
      </c>
      <c r="L38" s="94" t="s">
        <v>6</v>
      </c>
      <c r="M38" s="95" t="s">
        <v>172</v>
      </c>
      <c r="N38" s="96" t="s">
        <v>6</v>
      </c>
      <c r="O38" s="153"/>
      <c r="P38" s="153"/>
      <c r="Q38" s="153"/>
      <c r="R38" s="154"/>
      <c r="S38" s="111">
        <f>S39+S44+S48</f>
        <v>407729.39999999997</v>
      </c>
      <c r="T38" s="111">
        <f>T39+T44+T48</f>
        <v>1397.9</v>
      </c>
      <c r="U38" s="111">
        <f t="shared" si="0"/>
        <v>409127.3</v>
      </c>
      <c r="V38" s="111">
        <f>V39+V44+V48</f>
        <v>3238.5000000000009</v>
      </c>
      <c r="W38" s="111">
        <f t="shared" si="1"/>
        <v>412365.8</v>
      </c>
      <c r="X38" s="74"/>
      <c r="Y38" s="21"/>
    </row>
    <row r="39" spans="1:25" ht="321.75" customHeight="1" x14ac:dyDescent="0.2">
      <c r="A39" s="114"/>
      <c r="B39" s="7"/>
      <c r="C39" s="134" t="s">
        <v>234</v>
      </c>
      <c r="D39" s="135"/>
      <c r="E39" s="135"/>
      <c r="F39" s="135"/>
      <c r="G39" s="135"/>
      <c r="H39" s="36" t="s">
        <v>184</v>
      </c>
      <c r="I39" s="37" t="s">
        <v>8</v>
      </c>
      <c r="J39" s="37" t="s">
        <v>30</v>
      </c>
      <c r="K39" s="37" t="s">
        <v>6</v>
      </c>
      <c r="L39" s="38" t="s">
        <v>6</v>
      </c>
      <c r="M39" s="39" t="s">
        <v>177</v>
      </c>
      <c r="N39" s="40" t="s">
        <v>6</v>
      </c>
      <c r="O39" s="132"/>
      <c r="P39" s="132"/>
      <c r="Q39" s="132"/>
      <c r="R39" s="133"/>
      <c r="S39" s="107">
        <f>S40+S41+S42+S43</f>
        <v>11522.099999999999</v>
      </c>
      <c r="T39" s="107">
        <f>T40+T41+T42+T43</f>
        <v>-250.5</v>
      </c>
      <c r="U39" s="107">
        <f t="shared" si="0"/>
        <v>11271.599999999999</v>
      </c>
      <c r="V39" s="107">
        <f>V40+V41+V42+V43</f>
        <v>-233.0999999999998</v>
      </c>
      <c r="W39" s="107">
        <f t="shared" si="1"/>
        <v>11038.499999999998</v>
      </c>
      <c r="X39" s="98" t="s">
        <v>488</v>
      </c>
      <c r="Y39" s="21"/>
    </row>
    <row r="40" spans="1:25" ht="24.75" hidden="1" customHeight="1" outlineLevel="1" x14ac:dyDescent="0.2">
      <c r="A40" s="114"/>
      <c r="B40" s="7"/>
      <c r="C40" s="67"/>
      <c r="D40" s="139" t="s">
        <v>254</v>
      </c>
      <c r="E40" s="139"/>
      <c r="F40" s="139"/>
      <c r="G40" s="139"/>
      <c r="H40" s="41" t="s">
        <v>183</v>
      </c>
      <c r="I40" s="42" t="s">
        <v>8</v>
      </c>
      <c r="J40" s="42" t="s">
        <v>30</v>
      </c>
      <c r="K40" s="42" t="s">
        <v>19</v>
      </c>
      <c r="L40" s="43" t="s">
        <v>6</v>
      </c>
      <c r="M40" s="44" t="s">
        <v>182</v>
      </c>
      <c r="N40" s="6" t="s">
        <v>6</v>
      </c>
      <c r="O40" s="137"/>
      <c r="P40" s="137"/>
      <c r="Q40" s="137"/>
      <c r="R40" s="138"/>
      <c r="S40" s="109">
        <v>962.7</v>
      </c>
      <c r="T40" s="109"/>
      <c r="U40" s="109">
        <f t="shared" si="0"/>
        <v>962.7</v>
      </c>
      <c r="V40" s="109"/>
      <c r="W40" s="109">
        <f t="shared" si="1"/>
        <v>962.7</v>
      </c>
      <c r="X40" s="66"/>
      <c r="Y40" s="21"/>
    </row>
    <row r="41" spans="1:25" ht="83.25" hidden="1" customHeight="1" outlineLevel="1" x14ac:dyDescent="0.2">
      <c r="A41" s="114"/>
      <c r="B41" s="7"/>
      <c r="C41" s="67"/>
      <c r="D41" s="139" t="s">
        <v>255</v>
      </c>
      <c r="E41" s="139"/>
      <c r="F41" s="139"/>
      <c r="G41" s="139"/>
      <c r="H41" s="41" t="s">
        <v>181</v>
      </c>
      <c r="I41" s="42" t="s">
        <v>8</v>
      </c>
      <c r="J41" s="42" t="s">
        <v>30</v>
      </c>
      <c r="K41" s="42" t="s">
        <v>16</v>
      </c>
      <c r="L41" s="43" t="s">
        <v>6</v>
      </c>
      <c r="M41" s="44" t="s">
        <v>181</v>
      </c>
      <c r="N41" s="6" t="s">
        <v>6</v>
      </c>
      <c r="O41" s="137"/>
      <c r="P41" s="137"/>
      <c r="Q41" s="137"/>
      <c r="R41" s="138"/>
      <c r="S41" s="109">
        <v>180</v>
      </c>
      <c r="T41" s="109">
        <v>133</v>
      </c>
      <c r="U41" s="109">
        <f t="shared" si="0"/>
        <v>313</v>
      </c>
      <c r="V41" s="109">
        <f>-33+510</f>
        <v>477</v>
      </c>
      <c r="W41" s="109">
        <f t="shared" si="1"/>
        <v>790</v>
      </c>
      <c r="X41" s="66" t="s">
        <v>365</v>
      </c>
      <c r="Y41" s="21"/>
    </row>
    <row r="42" spans="1:25" ht="339.75" hidden="1" customHeight="1" outlineLevel="1" x14ac:dyDescent="0.2">
      <c r="A42" s="114"/>
      <c r="B42" s="7"/>
      <c r="C42" s="67"/>
      <c r="D42" s="139" t="s">
        <v>256</v>
      </c>
      <c r="E42" s="139"/>
      <c r="F42" s="139"/>
      <c r="G42" s="139"/>
      <c r="H42" s="41" t="s">
        <v>180</v>
      </c>
      <c r="I42" s="42" t="s">
        <v>8</v>
      </c>
      <c r="J42" s="42" t="s">
        <v>30</v>
      </c>
      <c r="K42" s="42" t="s">
        <v>33</v>
      </c>
      <c r="L42" s="43" t="s">
        <v>6</v>
      </c>
      <c r="M42" s="44" t="s">
        <v>179</v>
      </c>
      <c r="N42" s="6" t="s">
        <v>6</v>
      </c>
      <c r="O42" s="137"/>
      <c r="P42" s="137"/>
      <c r="Q42" s="137"/>
      <c r="R42" s="138"/>
      <c r="S42" s="109">
        <v>5379.4</v>
      </c>
      <c r="T42" s="109">
        <v>-383.5</v>
      </c>
      <c r="U42" s="109">
        <f t="shared" si="0"/>
        <v>4995.8999999999996</v>
      </c>
      <c r="V42" s="109">
        <f>33+316.4+180-1542.1-500+589.5+43+77.2+31.4+127.6-66.1</f>
        <v>-710.0999999999998</v>
      </c>
      <c r="W42" s="109">
        <f t="shared" si="1"/>
        <v>4285.8</v>
      </c>
      <c r="X42" s="97" t="s">
        <v>480</v>
      </c>
      <c r="Y42" s="21"/>
    </row>
    <row r="43" spans="1:25" ht="12.75" hidden="1" customHeight="1" outlineLevel="1" x14ac:dyDescent="0.2">
      <c r="A43" s="114"/>
      <c r="B43" s="7"/>
      <c r="C43" s="67"/>
      <c r="D43" s="139" t="s">
        <v>257</v>
      </c>
      <c r="E43" s="139"/>
      <c r="F43" s="139"/>
      <c r="G43" s="139"/>
      <c r="H43" s="41" t="s">
        <v>177</v>
      </c>
      <c r="I43" s="42" t="s">
        <v>8</v>
      </c>
      <c r="J43" s="42" t="s">
        <v>30</v>
      </c>
      <c r="K43" s="42" t="s">
        <v>178</v>
      </c>
      <c r="L43" s="43" t="s">
        <v>6</v>
      </c>
      <c r="M43" s="44" t="s">
        <v>177</v>
      </c>
      <c r="N43" s="6" t="s">
        <v>6</v>
      </c>
      <c r="O43" s="137"/>
      <c r="P43" s="137"/>
      <c r="Q43" s="137"/>
      <c r="R43" s="138"/>
      <c r="S43" s="109">
        <v>5000</v>
      </c>
      <c r="T43" s="109"/>
      <c r="U43" s="109">
        <f t="shared" si="0"/>
        <v>5000</v>
      </c>
      <c r="V43" s="109"/>
      <c r="W43" s="109">
        <f t="shared" si="1"/>
        <v>5000</v>
      </c>
      <c r="X43" s="97"/>
      <c r="Y43" s="21"/>
    </row>
    <row r="44" spans="1:25" ht="165.75" customHeight="1" collapsed="1" x14ac:dyDescent="0.2">
      <c r="A44" s="114"/>
      <c r="B44" s="7"/>
      <c r="C44" s="134" t="s">
        <v>258</v>
      </c>
      <c r="D44" s="135"/>
      <c r="E44" s="135"/>
      <c r="F44" s="135"/>
      <c r="G44" s="135"/>
      <c r="H44" s="36" t="s">
        <v>176</v>
      </c>
      <c r="I44" s="37" t="s">
        <v>8</v>
      </c>
      <c r="J44" s="37" t="s">
        <v>24</v>
      </c>
      <c r="K44" s="37" t="s">
        <v>6</v>
      </c>
      <c r="L44" s="38" t="s">
        <v>6</v>
      </c>
      <c r="M44" s="39" t="s">
        <v>173</v>
      </c>
      <c r="N44" s="40" t="s">
        <v>6</v>
      </c>
      <c r="O44" s="132"/>
      <c r="P44" s="132"/>
      <c r="Q44" s="132"/>
      <c r="R44" s="133"/>
      <c r="S44" s="107">
        <f>S45+S46+S47</f>
        <v>7060.5</v>
      </c>
      <c r="T44" s="107">
        <f>T45+T46+T47</f>
        <v>373.7</v>
      </c>
      <c r="U44" s="107">
        <f t="shared" si="0"/>
        <v>7434.2</v>
      </c>
      <c r="V44" s="107">
        <f>V45+V46+V47</f>
        <v>-778.6</v>
      </c>
      <c r="W44" s="107">
        <f t="shared" si="1"/>
        <v>6655.5999999999995</v>
      </c>
      <c r="X44" s="98" t="s">
        <v>464</v>
      </c>
      <c r="Y44" s="21"/>
    </row>
    <row r="45" spans="1:25" ht="45" hidden="1" customHeight="1" outlineLevel="1" x14ac:dyDescent="0.2">
      <c r="A45" s="114"/>
      <c r="B45" s="7"/>
      <c r="C45" s="67"/>
      <c r="D45" s="139" t="s">
        <v>259</v>
      </c>
      <c r="E45" s="139"/>
      <c r="F45" s="139"/>
      <c r="G45" s="139"/>
      <c r="H45" s="41" t="s">
        <v>175</v>
      </c>
      <c r="I45" s="42" t="s">
        <v>8</v>
      </c>
      <c r="J45" s="42" t="s">
        <v>24</v>
      </c>
      <c r="K45" s="42" t="s">
        <v>19</v>
      </c>
      <c r="L45" s="43" t="s">
        <v>6</v>
      </c>
      <c r="M45" s="44" t="s">
        <v>175</v>
      </c>
      <c r="N45" s="6" t="s">
        <v>6</v>
      </c>
      <c r="O45" s="137"/>
      <c r="P45" s="137"/>
      <c r="Q45" s="137"/>
      <c r="R45" s="138"/>
      <c r="S45" s="109">
        <v>250</v>
      </c>
      <c r="T45" s="109"/>
      <c r="U45" s="109">
        <f t="shared" si="0"/>
        <v>250</v>
      </c>
      <c r="V45" s="109">
        <v>-127</v>
      </c>
      <c r="W45" s="109">
        <f t="shared" si="1"/>
        <v>123</v>
      </c>
      <c r="X45" s="97" t="s">
        <v>390</v>
      </c>
      <c r="Y45" s="21"/>
    </row>
    <row r="46" spans="1:25" ht="15.75" hidden="1" customHeight="1" outlineLevel="1" x14ac:dyDescent="0.2">
      <c r="A46" s="114"/>
      <c r="B46" s="7"/>
      <c r="C46" s="67"/>
      <c r="D46" s="139" t="s">
        <v>260</v>
      </c>
      <c r="E46" s="139"/>
      <c r="F46" s="139"/>
      <c r="G46" s="139"/>
      <c r="H46" s="41" t="s">
        <v>174</v>
      </c>
      <c r="I46" s="42" t="s">
        <v>8</v>
      </c>
      <c r="J46" s="42" t="s">
        <v>24</v>
      </c>
      <c r="K46" s="42" t="s">
        <v>16</v>
      </c>
      <c r="L46" s="43" t="s">
        <v>6</v>
      </c>
      <c r="M46" s="44" t="s">
        <v>174</v>
      </c>
      <c r="N46" s="6" t="s">
        <v>6</v>
      </c>
      <c r="O46" s="137"/>
      <c r="P46" s="137"/>
      <c r="Q46" s="137"/>
      <c r="R46" s="138"/>
      <c r="S46" s="109">
        <v>1310.5</v>
      </c>
      <c r="T46" s="109">
        <v>373.7</v>
      </c>
      <c r="U46" s="109">
        <f t="shared" si="0"/>
        <v>1684.2</v>
      </c>
      <c r="V46" s="109"/>
      <c r="W46" s="109">
        <f t="shared" si="1"/>
        <v>1684.2</v>
      </c>
      <c r="X46" s="97"/>
      <c r="Y46" s="21"/>
    </row>
    <row r="47" spans="1:25" ht="122.25" hidden="1" customHeight="1" outlineLevel="1" x14ac:dyDescent="0.2">
      <c r="A47" s="114"/>
      <c r="B47" s="7"/>
      <c r="C47" s="67"/>
      <c r="D47" s="139" t="s">
        <v>394</v>
      </c>
      <c r="E47" s="139"/>
      <c r="F47" s="139"/>
      <c r="G47" s="139"/>
      <c r="H47" s="41" t="s">
        <v>173</v>
      </c>
      <c r="I47" s="42" t="s">
        <v>8</v>
      </c>
      <c r="J47" s="42" t="s">
        <v>24</v>
      </c>
      <c r="K47" s="42" t="s">
        <v>33</v>
      </c>
      <c r="L47" s="43" t="s">
        <v>6</v>
      </c>
      <c r="M47" s="44" t="s">
        <v>173</v>
      </c>
      <c r="N47" s="6" t="s">
        <v>6</v>
      </c>
      <c r="O47" s="137"/>
      <c r="P47" s="137"/>
      <c r="Q47" s="137"/>
      <c r="R47" s="138"/>
      <c r="S47" s="109">
        <v>5500</v>
      </c>
      <c r="T47" s="109"/>
      <c r="U47" s="109">
        <f t="shared" si="0"/>
        <v>5500</v>
      </c>
      <c r="V47" s="109">
        <f>400-462.1-589.5</f>
        <v>-651.6</v>
      </c>
      <c r="W47" s="108">
        <f t="shared" si="1"/>
        <v>4848.3999999999996</v>
      </c>
      <c r="X47" s="115" t="s">
        <v>440</v>
      </c>
      <c r="Y47" s="21"/>
    </row>
    <row r="48" spans="1:25" ht="327.75" customHeight="1" collapsed="1" x14ac:dyDescent="0.2">
      <c r="A48" s="114"/>
      <c r="B48" s="7"/>
      <c r="C48" s="134" t="s">
        <v>261</v>
      </c>
      <c r="D48" s="135"/>
      <c r="E48" s="135"/>
      <c r="F48" s="135"/>
      <c r="G48" s="135"/>
      <c r="H48" s="36" t="s">
        <v>172</v>
      </c>
      <c r="I48" s="37" t="s">
        <v>8</v>
      </c>
      <c r="J48" s="37" t="s">
        <v>34</v>
      </c>
      <c r="K48" s="37" t="s">
        <v>6</v>
      </c>
      <c r="L48" s="38" t="s">
        <v>6</v>
      </c>
      <c r="M48" s="39" t="s">
        <v>172</v>
      </c>
      <c r="N48" s="40" t="s">
        <v>6</v>
      </c>
      <c r="O48" s="132"/>
      <c r="P48" s="132"/>
      <c r="Q48" s="132"/>
      <c r="R48" s="133"/>
      <c r="S48" s="107">
        <f>S49</f>
        <v>389146.8</v>
      </c>
      <c r="T48" s="107">
        <f>T49</f>
        <v>1274.7</v>
      </c>
      <c r="U48" s="107">
        <f t="shared" si="0"/>
        <v>390421.5</v>
      </c>
      <c r="V48" s="107">
        <f>V49</f>
        <v>4250.2000000000007</v>
      </c>
      <c r="W48" s="107">
        <f t="shared" si="1"/>
        <v>394671.7</v>
      </c>
      <c r="X48" s="65" t="s">
        <v>482</v>
      </c>
      <c r="Y48" s="21"/>
    </row>
    <row r="49" spans="1:25" ht="330.75" hidden="1" customHeight="1" outlineLevel="1" x14ac:dyDescent="0.2">
      <c r="A49" s="114"/>
      <c r="B49" s="7"/>
      <c r="C49" s="67"/>
      <c r="D49" s="139" t="s">
        <v>262</v>
      </c>
      <c r="E49" s="139"/>
      <c r="F49" s="139"/>
      <c r="G49" s="139"/>
      <c r="H49" s="41" t="s">
        <v>172</v>
      </c>
      <c r="I49" s="42" t="s">
        <v>8</v>
      </c>
      <c r="J49" s="42" t="s">
        <v>34</v>
      </c>
      <c r="K49" s="42" t="s">
        <v>19</v>
      </c>
      <c r="L49" s="43" t="s">
        <v>6</v>
      </c>
      <c r="M49" s="44" t="s">
        <v>172</v>
      </c>
      <c r="N49" s="6" t="s">
        <v>6</v>
      </c>
      <c r="O49" s="137"/>
      <c r="P49" s="137"/>
      <c r="Q49" s="137"/>
      <c r="R49" s="138"/>
      <c r="S49" s="109">
        <v>389146.8</v>
      </c>
      <c r="T49" s="109">
        <f>-25.3+1300</f>
        <v>1274.7</v>
      </c>
      <c r="U49" s="109">
        <f t="shared" si="0"/>
        <v>390421.5</v>
      </c>
      <c r="V49" s="109">
        <f>500+2307.5+272.7+213.1-43-77.2-31.4-127.6+1170+66.1</f>
        <v>4250.2000000000007</v>
      </c>
      <c r="W49" s="109">
        <f t="shared" si="1"/>
        <v>394671.7</v>
      </c>
      <c r="X49" s="66" t="s">
        <v>481</v>
      </c>
      <c r="Y49" s="21"/>
    </row>
    <row r="50" spans="1:25" ht="21.75" customHeight="1" collapsed="1" x14ac:dyDescent="0.2">
      <c r="A50" s="114"/>
      <c r="B50" s="64"/>
      <c r="C50" s="147" t="s">
        <v>433</v>
      </c>
      <c r="D50" s="148"/>
      <c r="E50" s="148"/>
      <c r="F50" s="148"/>
      <c r="G50" s="149"/>
      <c r="H50" s="53" t="s">
        <v>171</v>
      </c>
      <c r="I50" s="54" t="s">
        <v>3</v>
      </c>
      <c r="J50" s="54" t="s">
        <v>6</v>
      </c>
      <c r="K50" s="54" t="s">
        <v>6</v>
      </c>
      <c r="L50" s="55" t="s">
        <v>6</v>
      </c>
      <c r="M50" s="56" t="s">
        <v>171</v>
      </c>
      <c r="N50" s="57" t="s">
        <v>6</v>
      </c>
      <c r="O50" s="142"/>
      <c r="P50" s="142"/>
      <c r="Q50" s="142"/>
      <c r="R50" s="143"/>
      <c r="S50" s="110">
        <f>S51</f>
        <v>400</v>
      </c>
      <c r="T50" s="110">
        <f>T51</f>
        <v>0</v>
      </c>
      <c r="U50" s="110">
        <f t="shared" ref="U50:U81" si="2">SUM(S50:T50)</f>
        <v>400</v>
      </c>
      <c r="V50" s="110">
        <f>V51</f>
        <v>0</v>
      </c>
      <c r="W50" s="110">
        <f t="shared" ref="W50:W80" si="3">SUM(U50:V50)</f>
        <v>400</v>
      </c>
      <c r="X50" s="74"/>
      <c r="Y50" s="21"/>
    </row>
    <row r="51" spans="1:25" ht="21.75" hidden="1" customHeight="1" outlineLevel="1" x14ac:dyDescent="0.2">
      <c r="A51" s="114"/>
      <c r="B51" s="7"/>
      <c r="C51" s="67"/>
      <c r="D51" s="144" t="s">
        <v>263</v>
      </c>
      <c r="E51" s="139"/>
      <c r="F51" s="139"/>
      <c r="G51" s="139"/>
      <c r="H51" s="41" t="s">
        <v>171</v>
      </c>
      <c r="I51" s="42" t="s">
        <v>3</v>
      </c>
      <c r="J51" s="42" t="s">
        <v>4</v>
      </c>
      <c r="K51" s="42" t="s">
        <v>19</v>
      </c>
      <c r="L51" s="43" t="s">
        <v>6</v>
      </c>
      <c r="M51" s="44" t="s">
        <v>171</v>
      </c>
      <c r="N51" s="6" t="s">
        <v>6</v>
      </c>
      <c r="O51" s="137"/>
      <c r="P51" s="137"/>
      <c r="Q51" s="137"/>
      <c r="R51" s="138"/>
      <c r="S51" s="109">
        <v>400</v>
      </c>
      <c r="T51" s="109"/>
      <c r="U51" s="109">
        <f t="shared" si="2"/>
        <v>400</v>
      </c>
      <c r="V51" s="109"/>
      <c r="W51" s="109">
        <f t="shared" si="3"/>
        <v>400</v>
      </c>
      <c r="X51" s="66"/>
      <c r="Y51" s="21"/>
    </row>
    <row r="52" spans="1:25" ht="35.25" customHeight="1" collapsed="1" x14ac:dyDescent="0.2">
      <c r="A52" s="114"/>
      <c r="B52" s="64"/>
      <c r="C52" s="147" t="s">
        <v>379</v>
      </c>
      <c r="D52" s="148"/>
      <c r="E52" s="148"/>
      <c r="F52" s="148"/>
      <c r="G52" s="149"/>
      <c r="H52" s="53" t="s">
        <v>170</v>
      </c>
      <c r="I52" s="54" t="s">
        <v>169</v>
      </c>
      <c r="J52" s="54" t="s">
        <v>6</v>
      </c>
      <c r="K52" s="54" t="s">
        <v>6</v>
      </c>
      <c r="L52" s="55" t="s">
        <v>6</v>
      </c>
      <c r="M52" s="56" t="s">
        <v>168</v>
      </c>
      <c r="N52" s="57" t="s">
        <v>6</v>
      </c>
      <c r="O52" s="142"/>
      <c r="P52" s="142"/>
      <c r="Q52" s="142"/>
      <c r="R52" s="143"/>
      <c r="S52" s="110">
        <f>S53</f>
        <v>17675.599999999999</v>
      </c>
      <c r="T52" s="110">
        <f>T53</f>
        <v>3000</v>
      </c>
      <c r="U52" s="110">
        <f t="shared" si="2"/>
        <v>20675.599999999999</v>
      </c>
      <c r="V52" s="110">
        <f>V53</f>
        <v>0</v>
      </c>
      <c r="W52" s="110">
        <f t="shared" si="3"/>
        <v>20675.599999999999</v>
      </c>
      <c r="X52" s="75"/>
      <c r="Y52" s="21"/>
    </row>
    <row r="53" spans="1:25" ht="42" hidden="1" customHeight="1" outlineLevel="1" x14ac:dyDescent="0.2">
      <c r="A53" s="114"/>
      <c r="B53" s="7"/>
      <c r="C53" s="67"/>
      <c r="D53" s="139" t="s">
        <v>264</v>
      </c>
      <c r="E53" s="139"/>
      <c r="F53" s="139"/>
      <c r="G53" s="139"/>
      <c r="H53" s="41" t="s">
        <v>170</v>
      </c>
      <c r="I53" s="42" t="s">
        <v>169</v>
      </c>
      <c r="J53" s="42" t="s">
        <v>4</v>
      </c>
      <c r="K53" s="42" t="s">
        <v>19</v>
      </c>
      <c r="L53" s="43" t="s">
        <v>6</v>
      </c>
      <c r="M53" s="44" t="s">
        <v>168</v>
      </c>
      <c r="N53" s="6" t="s">
        <v>6</v>
      </c>
      <c r="O53" s="137"/>
      <c r="P53" s="137"/>
      <c r="Q53" s="137"/>
      <c r="R53" s="138"/>
      <c r="S53" s="109">
        <v>17675.599999999999</v>
      </c>
      <c r="T53" s="109">
        <v>3000</v>
      </c>
      <c r="U53" s="109">
        <f t="shared" si="2"/>
        <v>20675.599999999999</v>
      </c>
      <c r="V53" s="109"/>
      <c r="W53" s="109">
        <f t="shared" si="3"/>
        <v>20675.599999999999</v>
      </c>
      <c r="X53" s="66"/>
      <c r="Y53" s="21"/>
    </row>
    <row r="54" spans="1:25" ht="23.25" customHeight="1" collapsed="1" x14ac:dyDescent="0.2">
      <c r="A54" s="114"/>
      <c r="B54" s="64"/>
      <c r="C54" s="147" t="s">
        <v>391</v>
      </c>
      <c r="D54" s="158"/>
      <c r="E54" s="158"/>
      <c r="F54" s="158"/>
      <c r="G54" s="159"/>
      <c r="H54" s="92" t="s">
        <v>167</v>
      </c>
      <c r="I54" s="93" t="s">
        <v>157</v>
      </c>
      <c r="J54" s="93" t="s">
        <v>6</v>
      </c>
      <c r="K54" s="93" t="s">
        <v>6</v>
      </c>
      <c r="L54" s="94" t="s">
        <v>6</v>
      </c>
      <c r="M54" s="95" t="s">
        <v>156</v>
      </c>
      <c r="N54" s="96" t="s">
        <v>6</v>
      </c>
      <c r="O54" s="153"/>
      <c r="P54" s="153"/>
      <c r="Q54" s="153"/>
      <c r="R54" s="154"/>
      <c r="S54" s="111">
        <f>S55+S60</f>
        <v>222613.7</v>
      </c>
      <c r="T54" s="111">
        <f>T55+T60</f>
        <v>1065.9000000000001</v>
      </c>
      <c r="U54" s="111">
        <f t="shared" si="2"/>
        <v>223679.6</v>
      </c>
      <c r="V54" s="111">
        <f>V55+V60</f>
        <v>1254.5999999999999</v>
      </c>
      <c r="W54" s="103">
        <f t="shared" si="3"/>
        <v>224934.2</v>
      </c>
      <c r="X54" s="74"/>
      <c r="Y54" s="21"/>
    </row>
    <row r="55" spans="1:25" ht="162" customHeight="1" x14ac:dyDescent="0.2">
      <c r="A55" s="114"/>
      <c r="B55" s="7"/>
      <c r="C55" s="134" t="s">
        <v>265</v>
      </c>
      <c r="D55" s="135"/>
      <c r="E55" s="135"/>
      <c r="F55" s="135"/>
      <c r="G55" s="135"/>
      <c r="H55" s="36" t="s">
        <v>166</v>
      </c>
      <c r="I55" s="37" t="s">
        <v>157</v>
      </c>
      <c r="J55" s="37" t="s">
        <v>30</v>
      </c>
      <c r="K55" s="37" t="s">
        <v>6</v>
      </c>
      <c r="L55" s="38" t="s">
        <v>6</v>
      </c>
      <c r="M55" s="39" t="s">
        <v>162</v>
      </c>
      <c r="N55" s="40" t="s">
        <v>6</v>
      </c>
      <c r="O55" s="132"/>
      <c r="P55" s="132"/>
      <c r="Q55" s="132"/>
      <c r="R55" s="133"/>
      <c r="S55" s="107">
        <f>S56+S57+S58+S59</f>
        <v>216582.5</v>
      </c>
      <c r="T55" s="107">
        <f>T56+T57+T58+T59</f>
        <v>1065.9000000000001</v>
      </c>
      <c r="U55" s="107">
        <f t="shared" si="2"/>
        <v>217648.4</v>
      </c>
      <c r="V55" s="107">
        <f>V56+V57+V58+V59</f>
        <v>654.29999999999995</v>
      </c>
      <c r="W55" s="107">
        <f t="shared" si="3"/>
        <v>218302.69999999998</v>
      </c>
      <c r="X55" s="65" t="s">
        <v>462</v>
      </c>
      <c r="Y55" s="21"/>
    </row>
    <row r="56" spans="1:25" ht="21.75" hidden="1" customHeight="1" outlineLevel="1" x14ac:dyDescent="0.2">
      <c r="A56" s="114"/>
      <c r="B56" s="7"/>
      <c r="C56" s="67"/>
      <c r="D56" s="139" t="s">
        <v>266</v>
      </c>
      <c r="E56" s="139"/>
      <c r="F56" s="139"/>
      <c r="G56" s="139"/>
      <c r="H56" s="41" t="s">
        <v>165</v>
      </c>
      <c r="I56" s="42" t="s">
        <v>157</v>
      </c>
      <c r="J56" s="42" t="s">
        <v>30</v>
      </c>
      <c r="K56" s="42" t="s">
        <v>19</v>
      </c>
      <c r="L56" s="43" t="s">
        <v>6</v>
      </c>
      <c r="M56" s="44" t="s">
        <v>165</v>
      </c>
      <c r="N56" s="6" t="s">
        <v>6</v>
      </c>
      <c r="O56" s="137"/>
      <c r="P56" s="137"/>
      <c r="Q56" s="137"/>
      <c r="R56" s="138"/>
      <c r="S56" s="109">
        <v>500</v>
      </c>
      <c r="T56" s="109"/>
      <c r="U56" s="109">
        <f t="shared" si="2"/>
        <v>500</v>
      </c>
      <c r="V56" s="109"/>
      <c r="W56" s="109">
        <f t="shared" si="3"/>
        <v>500</v>
      </c>
      <c r="X56" s="66"/>
      <c r="Y56" s="21"/>
    </row>
    <row r="57" spans="1:25" ht="21.75" hidden="1" customHeight="1" outlineLevel="1" x14ac:dyDescent="0.2">
      <c r="A57" s="114"/>
      <c r="B57" s="7"/>
      <c r="C57" s="67"/>
      <c r="D57" s="139" t="s">
        <v>267</v>
      </c>
      <c r="E57" s="139"/>
      <c r="F57" s="139"/>
      <c r="G57" s="139"/>
      <c r="H57" s="41" t="s">
        <v>164</v>
      </c>
      <c r="I57" s="42" t="s">
        <v>157</v>
      </c>
      <c r="J57" s="42" t="s">
        <v>30</v>
      </c>
      <c r="K57" s="42" t="s">
        <v>16</v>
      </c>
      <c r="L57" s="43" t="s">
        <v>6</v>
      </c>
      <c r="M57" s="44" t="s">
        <v>164</v>
      </c>
      <c r="N57" s="6" t="s">
        <v>6</v>
      </c>
      <c r="O57" s="137"/>
      <c r="P57" s="137"/>
      <c r="Q57" s="137"/>
      <c r="R57" s="138"/>
      <c r="S57" s="109">
        <v>500</v>
      </c>
      <c r="T57" s="109"/>
      <c r="U57" s="109">
        <f t="shared" si="2"/>
        <v>500</v>
      </c>
      <c r="V57" s="109"/>
      <c r="W57" s="109">
        <f t="shared" si="3"/>
        <v>500</v>
      </c>
      <c r="X57" s="66"/>
      <c r="Y57" s="21"/>
    </row>
    <row r="58" spans="1:25" ht="226.5" hidden="1" customHeight="1" outlineLevel="1" x14ac:dyDescent="0.2">
      <c r="A58" s="114"/>
      <c r="B58" s="7"/>
      <c r="C58" s="67"/>
      <c r="D58" s="139" t="s">
        <v>268</v>
      </c>
      <c r="E58" s="139"/>
      <c r="F58" s="139"/>
      <c r="G58" s="139"/>
      <c r="H58" s="41" t="s">
        <v>163</v>
      </c>
      <c r="I58" s="42" t="s">
        <v>157</v>
      </c>
      <c r="J58" s="42" t="s">
        <v>30</v>
      </c>
      <c r="K58" s="42" t="s">
        <v>14</v>
      </c>
      <c r="L58" s="43" t="s">
        <v>6</v>
      </c>
      <c r="M58" s="44" t="s">
        <v>163</v>
      </c>
      <c r="N58" s="6" t="s">
        <v>6</v>
      </c>
      <c r="O58" s="137"/>
      <c r="P58" s="137"/>
      <c r="Q58" s="137"/>
      <c r="R58" s="138"/>
      <c r="S58" s="109">
        <v>1850</v>
      </c>
      <c r="T58" s="109">
        <v>765.9</v>
      </c>
      <c r="U58" s="109">
        <f t="shared" si="2"/>
        <v>2615.9</v>
      </c>
      <c r="V58" s="109">
        <f>2497.2-195.5-2.9</f>
        <v>2298.7999999999997</v>
      </c>
      <c r="W58" s="109">
        <f t="shared" si="3"/>
        <v>4914.7</v>
      </c>
      <c r="X58" s="66" t="s">
        <v>461</v>
      </c>
      <c r="Y58" s="21"/>
    </row>
    <row r="59" spans="1:25" ht="141.75" hidden="1" customHeight="1" outlineLevel="1" x14ac:dyDescent="0.2">
      <c r="A59" s="114"/>
      <c r="B59" s="7"/>
      <c r="C59" s="67"/>
      <c r="D59" s="139" t="s">
        <v>269</v>
      </c>
      <c r="E59" s="139"/>
      <c r="F59" s="139"/>
      <c r="G59" s="139"/>
      <c r="H59" s="41" t="s">
        <v>162</v>
      </c>
      <c r="I59" s="42" t="s">
        <v>157</v>
      </c>
      <c r="J59" s="42" t="s">
        <v>30</v>
      </c>
      <c r="K59" s="42" t="s">
        <v>11</v>
      </c>
      <c r="L59" s="43" t="s">
        <v>6</v>
      </c>
      <c r="M59" s="44" t="s">
        <v>162</v>
      </c>
      <c r="N59" s="6" t="s">
        <v>6</v>
      </c>
      <c r="O59" s="137"/>
      <c r="P59" s="137"/>
      <c r="Q59" s="137"/>
      <c r="R59" s="138"/>
      <c r="S59" s="109">
        <v>213732.5</v>
      </c>
      <c r="T59" s="109">
        <f>300</f>
        <v>300</v>
      </c>
      <c r="U59" s="109">
        <f t="shared" si="2"/>
        <v>214032.5</v>
      </c>
      <c r="V59" s="109">
        <f>900.2-47.5-2497.2</f>
        <v>-1644.4999999999998</v>
      </c>
      <c r="W59" s="109">
        <f t="shared" si="3"/>
        <v>212388</v>
      </c>
      <c r="X59" s="66" t="s">
        <v>376</v>
      </c>
      <c r="Y59" s="21"/>
    </row>
    <row r="60" spans="1:25" ht="71.25" customHeight="1" collapsed="1" x14ac:dyDescent="0.2">
      <c r="A60" s="114"/>
      <c r="B60" s="7"/>
      <c r="C60" s="134" t="s">
        <v>270</v>
      </c>
      <c r="D60" s="135"/>
      <c r="E60" s="135"/>
      <c r="F60" s="135"/>
      <c r="G60" s="135"/>
      <c r="H60" s="36" t="s">
        <v>161</v>
      </c>
      <c r="I60" s="37" t="s">
        <v>157</v>
      </c>
      <c r="J60" s="37" t="s">
        <v>24</v>
      </c>
      <c r="K60" s="37" t="s">
        <v>6</v>
      </c>
      <c r="L60" s="38" t="s">
        <v>6</v>
      </c>
      <c r="M60" s="39" t="s">
        <v>156</v>
      </c>
      <c r="N60" s="40" t="s">
        <v>6</v>
      </c>
      <c r="O60" s="132"/>
      <c r="P60" s="132"/>
      <c r="Q60" s="132"/>
      <c r="R60" s="133"/>
      <c r="S60" s="107">
        <f>S61+S62</f>
        <v>6031.2000000000007</v>
      </c>
      <c r="T60" s="107">
        <f>T61+T62</f>
        <v>0</v>
      </c>
      <c r="U60" s="107">
        <f t="shared" si="2"/>
        <v>6031.2000000000007</v>
      </c>
      <c r="V60" s="107">
        <f>V61+V62</f>
        <v>600.29999999999995</v>
      </c>
      <c r="W60" s="107">
        <f t="shared" si="3"/>
        <v>6631.5000000000009</v>
      </c>
      <c r="X60" s="65" t="s">
        <v>463</v>
      </c>
      <c r="Y60" s="21"/>
    </row>
    <row r="61" spans="1:25" ht="109.5" hidden="1" customHeight="1" outlineLevel="1" x14ac:dyDescent="0.2">
      <c r="A61" s="114"/>
      <c r="B61" s="7"/>
      <c r="C61" s="67"/>
      <c r="D61" s="139" t="s">
        <v>271</v>
      </c>
      <c r="E61" s="139"/>
      <c r="F61" s="139"/>
      <c r="G61" s="139"/>
      <c r="H61" s="41" t="s">
        <v>160</v>
      </c>
      <c r="I61" s="42" t="s">
        <v>157</v>
      </c>
      <c r="J61" s="42" t="s">
        <v>24</v>
      </c>
      <c r="K61" s="42" t="s">
        <v>19</v>
      </c>
      <c r="L61" s="43" t="s">
        <v>6</v>
      </c>
      <c r="M61" s="44" t="s">
        <v>159</v>
      </c>
      <c r="N61" s="6" t="s">
        <v>6</v>
      </c>
      <c r="O61" s="137"/>
      <c r="P61" s="137"/>
      <c r="Q61" s="137"/>
      <c r="R61" s="138"/>
      <c r="S61" s="109">
        <v>4663.6000000000004</v>
      </c>
      <c r="T61" s="109"/>
      <c r="U61" s="109">
        <f t="shared" si="2"/>
        <v>4663.6000000000004</v>
      </c>
      <c r="V61" s="109">
        <f>150-1584.5+450.3</f>
        <v>-984.2</v>
      </c>
      <c r="W61" s="109">
        <f t="shared" si="3"/>
        <v>3679.4000000000005</v>
      </c>
      <c r="X61" s="66" t="s">
        <v>364</v>
      </c>
      <c r="Y61" s="21"/>
    </row>
    <row r="62" spans="1:25" ht="40.5" hidden="1" customHeight="1" outlineLevel="1" x14ac:dyDescent="0.2">
      <c r="A62" s="114"/>
      <c r="B62" s="7"/>
      <c r="C62" s="67"/>
      <c r="D62" s="139" t="s">
        <v>272</v>
      </c>
      <c r="E62" s="139"/>
      <c r="F62" s="139"/>
      <c r="G62" s="139"/>
      <c r="H62" s="41" t="s">
        <v>158</v>
      </c>
      <c r="I62" s="42" t="s">
        <v>157</v>
      </c>
      <c r="J62" s="42" t="s">
        <v>24</v>
      </c>
      <c r="K62" s="42" t="s">
        <v>33</v>
      </c>
      <c r="L62" s="43" t="s">
        <v>6</v>
      </c>
      <c r="M62" s="44" t="s">
        <v>156</v>
      </c>
      <c r="N62" s="6" t="s">
        <v>6</v>
      </c>
      <c r="O62" s="137"/>
      <c r="P62" s="137"/>
      <c r="Q62" s="137"/>
      <c r="R62" s="138"/>
      <c r="S62" s="109">
        <v>1367.6</v>
      </c>
      <c r="T62" s="109"/>
      <c r="U62" s="109">
        <f t="shared" si="2"/>
        <v>1367.6</v>
      </c>
      <c r="V62" s="109">
        <f>1584.5</f>
        <v>1584.5</v>
      </c>
      <c r="W62" s="109">
        <f t="shared" si="3"/>
        <v>2952.1</v>
      </c>
      <c r="X62" s="66" t="s">
        <v>377</v>
      </c>
      <c r="Y62" s="21"/>
    </row>
    <row r="63" spans="1:25" ht="39.75" customHeight="1" collapsed="1" x14ac:dyDescent="0.2">
      <c r="A63" s="114"/>
      <c r="B63" s="64"/>
      <c r="C63" s="147" t="s">
        <v>421</v>
      </c>
      <c r="D63" s="148"/>
      <c r="E63" s="148"/>
      <c r="F63" s="148"/>
      <c r="G63" s="149"/>
      <c r="H63" s="53" t="s">
        <v>155</v>
      </c>
      <c r="I63" s="54" t="s">
        <v>151</v>
      </c>
      <c r="J63" s="54" t="s">
        <v>6</v>
      </c>
      <c r="K63" s="54" t="s">
        <v>6</v>
      </c>
      <c r="L63" s="55" t="s">
        <v>6</v>
      </c>
      <c r="M63" s="56" t="s">
        <v>150</v>
      </c>
      <c r="N63" s="57" t="s">
        <v>6</v>
      </c>
      <c r="O63" s="142"/>
      <c r="P63" s="142"/>
      <c r="Q63" s="142"/>
      <c r="R63" s="143"/>
      <c r="S63" s="110">
        <f>S64+S65+S66</f>
        <v>52019.6</v>
      </c>
      <c r="T63" s="110">
        <f>T64+T65+T66</f>
        <v>6968.4</v>
      </c>
      <c r="U63" s="110">
        <f t="shared" si="2"/>
        <v>58988</v>
      </c>
      <c r="V63" s="110">
        <f>V64+V65+V66</f>
        <v>-646.59999999999991</v>
      </c>
      <c r="W63" s="110">
        <f t="shared" si="3"/>
        <v>58341.4</v>
      </c>
      <c r="X63" s="74" t="s">
        <v>474</v>
      </c>
      <c r="Y63" s="21"/>
    </row>
    <row r="64" spans="1:25" ht="21.75" hidden="1" customHeight="1" outlineLevel="1" x14ac:dyDescent="0.2">
      <c r="A64" s="114"/>
      <c r="B64" s="7"/>
      <c r="C64" s="67"/>
      <c r="D64" s="144" t="s">
        <v>273</v>
      </c>
      <c r="E64" s="139"/>
      <c r="F64" s="139"/>
      <c r="G64" s="139"/>
      <c r="H64" s="41" t="s">
        <v>154</v>
      </c>
      <c r="I64" s="42" t="s">
        <v>151</v>
      </c>
      <c r="J64" s="42" t="s">
        <v>4</v>
      </c>
      <c r="K64" s="42" t="s">
        <v>19</v>
      </c>
      <c r="L64" s="43" t="s">
        <v>6</v>
      </c>
      <c r="M64" s="44" t="s">
        <v>153</v>
      </c>
      <c r="N64" s="6" t="s">
        <v>6</v>
      </c>
      <c r="O64" s="137"/>
      <c r="P64" s="137"/>
      <c r="Q64" s="137"/>
      <c r="R64" s="138"/>
      <c r="S64" s="109">
        <v>43712.6</v>
      </c>
      <c r="T64" s="109"/>
      <c r="U64" s="109">
        <f t="shared" si="2"/>
        <v>43712.6</v>
      </c>
      <c r="V64" s="109"/>
      <c r="W64" s="109">
        <f t="shared" si="3"/>
        <v>43712.6</v>
      </c>
      <c r="X64" s="66"/>
      <c r="Y64" s="21"/>
    </row>
    <row r="65" spans="1:25" ht="60.75" hidden="1" customHeight="1" outlineLevel="1" x14ac:dyDescent="0.2">
      <c r="A65" s="114"/>
      <c r="B65" s="7"/>
      <c r="C65" s="67"/>
      <c r="D65" s="144" t="s">
        <v>274</v>
      </c>
      <c r="E65" s="139"/>
      <c r="F65" s="139"/>
      <c r="G65" s="139"/>
      <c r="H65" s="41" t="s">
        <v>152</v>
      </c>
      <c r="I65" s="42" t="s">
        <v>151</v>
      </c>
      <c r="J65" s="42" t="s">
        <v>4</v>
      </c>
      <c r="K65" s="42" t="s">
        <v>16</v>
      </c>
      <c r="L65" s="43" t="s">
        <v>6</v>
      </c>
      <c r="M65" s="44" t="s">
        <v>152</v>
      </c>
      <c r="N65" s="6" t="s">
        <v>6</v>
      </c>
      <c r="O65" s="137"/>
      <c r="P65" s="137"/>
      <c r="Q65" s="137"/>
      <c r="R65" s="138"/>
      <c r="S65" s="109">
        <v>6607</v>
      </c>
      <c r="T65" s="109">
        <f>-117.3+3833.8</f>
        <v>3716.5</v>
      </c>
      <c r="U65" s="109">
        <f t="shared" si="2"/>
        <v>10323.5</v>
      </c>
      <c r="V65" s="109">
        <f>-182.7+112.5</f>
        <v>-70.199999999999989</v>
      </c>
      <c r="W65" s="109">
        <f t="shared" si="3"/>
        <v>10253.299999999999</v>
      </c>
      <c r="X65" s="66" t="s">
        <v>371</v>
      </c>
      <c r="Y65" s="21"/>
    </row>
    <row r="66" spans="1:25" ht="114" hidden="1" customHeight="1" outlineLevel="1" x14ac:dyDescent="0.2">
      <c r="A66" s="114"/>
      <c r="B66" s="7"/>
      <c r="C66" s="67"/>
      <c r="D66" s="144" t="s">
        <v>275</v>
      </c>
      <c r="E66" s="139"/>
      <c r="F66" s="139"/>
      <c r="G66" s="139"/>
      <c r="H66" s="41" t="s">
        <v>150</v>
      </c>
      <c r="I66" s="42" t="s">
        <v>151</v>
      </c>
      <c r="J66" s="42" t="s">
        <v>4</v>
      </c>
      <c r="K66" s="42" t="s">
        <v>33</v>
      </c>
      <c r="L66" s="43" t="s">
        <v>6</v>
      </c>
      <c r="M66" s="44" t="s">
        <v>150</v>
      </c>
      <c r="N66" s="6" t="s">
        <v>6</v>
      </c>
      <c r="O66" s="137"/>
      <c r="P66" s="137"/>
      <c r="Q66" s="137"/>
      <c r="R66" s="138"/>
      <c r="S66" s="109">
        <v>1700</v>
      </c>
      <c r="T66" s="109">
        <f>689.3+2562.6</f>
        <v>3251.8999999999996</v>
      </c>
      <c r="U66" s="109">
        <f t="shared" si="2"/>
        <v>4951.8999999999996</v>
      </c>
      <c r="V66" s="109">
        <f>190-750.3-16.1</f>
        <v>-576.4</v>
      </c>
      <c r="W66" s="109">
        <f t="shared" si="3"/>
        <v>4375.5</v>
      </c>
      <c r="X66" s="66" t="s">
        <v>375</v>
      </c>
      <c r="Y66" s="21"/>
    </row>
    <row r="67" spans="1:25" ht="22.5" collapsed="1" x14ac:dyDescent="0.2">
      <c r="A67" s="114"/>
      <c r="B67" s="64"/>
      <c r="C67" s="147" t="s">
        <v>422</v>
      </c>
      <c r="D67" s="148"/>
      <c r="E67" s="148"/>
      <c r="F67" s="148"/>
      <c r="G67" s="149"/>
      <c r="H67" s="53" t="s">
        <v>149</v>
      </c>
      <c r="I67" s="54" t="s">
        <v>135</v>
      </c>
      <c r="J67" s="54" t="s">
        <v>6</v>
      </c>
      <c r="K67" s="54" t="s">
        <v>6</v>
      </c>
      <c r="L67" s="55" t="s">
        <v>6</v>
      </c>
      <c r="M67" s="56" t="s">
        <v>134</v>
      </c>
      <c r="N67" s="57" t="s">
        <v>6</v>
      </c>
      <c r="O67" s="142"/>
      <c r="P67" s="142"/>
      <c r="Q67" s="142"/>
      <c r="R67" s="143"/>
      <c r="S67" s="110">
        <f>S68+S70+S73+S77</f>
        <v>409434.10000000003</v>
      </c>
      <c r="T67" s="110">
        <f>T68+T70+T73+T77-0.1</f>
        <v>137196.80000000002</v>
      </c>
      <c r="U67" s="110">
        <f t="shared" si="2"/>
        <v>546630.9</v>
      </c>
      <c r="V67" s="110">
        <f>SUM(V68+V70+V73+V77)</f>
        <v>375371.7</v>
      </c>
      <c r="W67" s="110">
        <f t="shared" si="3"/>
        <v>922002.60000000009</v>
      </c>
      <c r="X67" s="74"/>
      <c r="Y67" s="21"/>
    </row>
    <row r="68" spans="1:25" ht="23.25" customHeight="1" x14ac:dyDescent="0.2">
      <c r="A68" s="114"/>
      <c r="B68" s="7"/>
      <c r="C68" s="136" t="s">
        <v>276</v>
      </c>
      <c r="D68" s="135"/>
      <c r="E68" s="135"/>
      <c r="F68" s="135"/>
      <c r="G68" s="135"/>
      <c r="H68" s="36" t="s">
        <v>148</v>
      </c>
      <c r="I68" s="37" t="s">
        <v>135</v>
      </c>
      <c r="J68" s="37" t="s">
        <v>30</v>
      </c>
      <c r="K68" s="37" t="s">
        <v>6</v>
      </c>
      <c r="L68" s="38" t="s">
        <v>6</v>
      </c>
      <c r="M68" s="39" t="s">
        <v>148</v>
      </c>
      <c r="N68" s="40" t="s">
        <v>6</v>
      </c>
      <c r="O68" s="132"/>
      <c r="P68" s="132"/>
      <c r="Q68" s="132"/>
      <c r="R68" s="133"/>
      <c r="S68" s="107">
        <f>S69</f>
        <v>619.5</v>
      </c>
      <c r="T68" s="107">
        <f>T69</f>
        <v>195.1</v>
      </c>
      <c r="U68" s="107">
        <f t="shared" si="2"/>
        <v>814.6</v>
      </c>
      <c r="V68" s="107">
        <f>V69</f>
        <v>0</v>
      </c>
      <c r="W68" s="107">
        <f t="shared" si="3"/>
        <v>814.6</v>
      </c>
      <c r="X68" s="116"/>
      <c r="Y68" s="21"/>
    </row>
    <row r="69" spans="1:25" ht="54.75" hidden="1" customHeight="1" outlineLevel="1" x14ac:dyDescent="0.2">
      <c r="A69" s="114"/>
      <c r="B69" s="7"/>
      <c r="C69" s="68"/>
      <c r="D69" s="178" t="s">
        <v>350</v>
      </c>
      <c r="E69" s="178"/>
      <c r="F69" s="178"/>
      <c r="G69" s="178"/>
      <c r="H69" s="41"/>
      <c r="I69" s="46" t="s">
        <v>135</v>
      </c>
      <c r="J69" s="46" t="s">
        <v>30</v>
      </c>
      <c r="K69" s="46" t="s">
        <v>19</v>
      </c>
      <c r="L69" s="43"/>
      <c r="M69" s="44"/>
      <c r="N69" s="6"/>
      <c r="O69" s="108"/>
      <c r="P69" s="108"/>
      <c r="Q69" s="108"/>
      <c r="R69" s="109"/>
      <c r="S69" s="31">
        <v>619.5</v>
      </c>
      <c r="T69" s="109">
        <v>195.1</v>
      </c>
      <c r="U69" s="109">
        <f t="shared" si="2"/>
        <v>814.6</v>
      </c>
      <c r="V69" s="109"/>
      <c r="W69" s="109">
        <f t="shared" si="3"/>
        <v>814.6</v>
      </c>
      <c r="X69" s="117"/>
      <c r="Y69" s="21"/>
    </row>
    <row r="70" spans="1:25" ht="42.75" customHeight="1" collapsed="1" x14ac:dyDescent="0.2">
      <c r="A70" s="114"/>
      <c r="B70" s="7"/>
      <c r="C70" s="136" t="s">
        <v>277</v>
      </c>
      <c r="D70" s="135"/>
      <c r="E70" s="135"/>
      <c r="F70" s="135"/>
      <c r="G70" s="135"/>
      <c r="H70" s="36" t="s">
        <v>147</v>
      </c>
      <c r="I70" s="37" t="s">
        <v>135</v>
      </c>
      <c r="J70" s="37" t="s">
        <v>24</v>
      </c>
      <c r="K70" s="37" t="s">
        <v>6</v>
      </c>
      <c r="L70" s="38" t="s">
        <v>6</v>
      </c>
      <c r="M70" s="39" t="s">
        <v>144</v>
      </c>
      <c r="N70" s="40" t="s">
        <v>6</v>
      </c>
      <c r="O70" s="132"/>
      <c r="P70" s="132"/>
      <c r="Q70" s="132"/>
      <c r="R70" s="133"/>
      <c r="S70" s="107">
        <f>S71+S72</f>
        <v>33465.699999999997</v>
      </c>
      <c r="T70" s="107">
        <f>T71+T72</f>
        <v>0</v>
      </c>
      <c r="U70" s="107">
        <f t="shared" si="2"/>
        <v>33465.699999999997</v>
      </c>
      <c r="V70" s="107">
        <f>V71+V72</f>
        <v>18713</v>
      </c>
      <c r="W70" s="107">
        <f t="shared" si="3"/>
        <v>52178.7</v>
      </c>
      <c r="X70" s="65" t="s">
        <v>406</v>
      </c>
      <c r="Y70" s="21"/>
    </row>
    <row r="71" spans="1:25" ht="75" hidden="1" customHeight="1" outlineLevel="1" x14ac:dyDescent="0.2">
      <c r="A71" s="114"/>
      <c r="B71" s="7"/>
      <c r="C71" s="67"/>
      <c r="D71" s="144" t="s">
        <v>278</v>
      </c>
      <c r="E71" s="139"/>
      <c r="F71" s="139"/>
      <c r="G71" s="139"/>
      <c r="H71" s="41" t="s">
        <v>146</v>
      </c>
      <c r="I71" s="42" t="s">
        <v>135</v>
      </c>
      <c r="J71" s="42" t="s">
        <v>24</v>
      </c>
      <c r="K71" s="42" t="s">
        <v>19</v>
      </c>
      <c r="L71" s="43" t="s">
        <v>6</v>
      </c>
      <c r="M71" s="44" t="s">
        <v>145</v>
      </c>
      <c r="N71" s="6" t="s">
        <v>6</v>
      </c>
      <c r="O71" s="137"/>
      <c r="P71" s="137"/>
      <c r="Q71" s="137"/>
      <c r="R71" s="138"/>
      <c r="S71" s="109">
        <v>33455.599999999999</v>
      </c>
      <c r="T71" s="109"/>
      <c r="U71" s="109">
        <f t="shared" si="2"/>
        <v>33455.599999999999</v>
      </c>
      <c r="V71" s="109">
        <f>16594.4+3819.8-1701.2</f>
        <v>18713</v>
      </c>
      <c r="W71" s="109">
        <f t="shared" si="3"/>
        <v>52168.6</v>
      </c>
      <c r="X71" s="66" t="s">
        <v>406</v>
      </c>
      <c r="Y71" s="21"/>
    </row>
    <row r="72" spans="1:25" ht="62.25" hidden="1" customHeight="1" outlineLevel="1" x14ac:dyDescent="0.2">
      <c r="A72" s="114"/>
      <c r="B72" s="7"/>
      <c r="C72" s="67"/>
      <c r="D72" s="144" t="s">
        <v>279</v>
      </c>
      <c r="E72" s="139"/>
      <c r="F72" s="139"/>
      <c r="G72" s="139"/>
      <c r="H72" s="41" t="s">
        <v>144</v>
      </c>
      <c r="I72" s="42" t="s">
        <v>135</v>
      </c>
      <c r="J72" s="42" t="s">
        <v>24</v>
      </c>
      <c r="K72" s="42" t="s">
        <v>16</v>
      </c>
      <c r="L72" s="43" t="s">
        <v>6</v>
      </c>
      <c r="M72" s="44" t="s">
        <v>144</v>
      </c>
      <c r="N72" s="6" t="s">
        <v>6</v>
      </c>
      <c r="O72" s="137"/>
      <c r="P72" s="137"/>
      <c r="Q72" s="137"/>
      <c r="R72" s="138"/>
      <c r="S72" s="109">
        <v>10.1</v>
      </c>
      <c r="T72" s="109"/>
      <c r="U72" s="109">
        <f t="shared" si="2"/>
        <v>10.1</v>
      </c>
      <c r="V72" s="109"/>
      <c r="W72" s="109">
        <f t="shared" si="3"/>
        <v>10.1</v>
      </c>
      <c r="X72" s="66"/>
      <c r="Y72" s="21"/>
    </row>
    <row r="73" spans="1:25" ht="201.75" customHeight="1" collapsed="1" x14ac:dyDescent="0.2">
      <c r="A73" s="114"/>
      <c r="B73" s="7"/>
      <c r="C73" s="134" t="s">
        <v>434</v>
      </c>
      <c r="D73" s="135"/>
      <c r="E73" s="135"/>
      <c r="F73" s="135"/>
      <c r="G73" s="135"/>
      <c r="H73" s="36" t="s">
        <v>143</v>
      </c>
      <c r="I73" s="37" t="s">
        <v>135</v>
      </c>
      <c r="J73" s="37" t="s">
        <v>34</v>
      </c>
      <c r="K73" s="37" t="s">
        <v>6</v>
      </c>
      <c r="L73" s="38" t="s">
        <v>6</v>
      </c>
      <c r="M73" s="39" t="s">
        <v>136</v>
      </c>
      <c r="N73" s="40" t="s">
        <v>6</v>
      </c>
      <c r="O73" s="132"/>
      <c r="P73" s="132"/>
      <c r="Q73" s="132"/>
      <c r="R73" s="133"/>
      <c r="S73" s="107">
        <f>S74+S75+S76</f>
        <v>333995.5</v>
      </c>
      <c r="T73" s="107">
        <f>T74+T75+T76</f>
        <v>113432.60000000002</v>
      </c>
      <c r="U73" s="107">
        <f t="shared" si="2"/>
        <v>447428.10000000003</v>
      </c>
      <c r="V73" s="107">
        <f>V74+V75+V76</f>
        <v>375024</v>
      </c>
      <c r="W73" s="107">
        <f t="shared" si="3"/>
        <v>822452.10000000009</v>
      </c>
      <c r="X73" s="76" t="s">
        <v>458</v>
      </c>
      <c r="Y73" s="21"/>
    </row>
    <row r="74" spans="1:25" ht="81" hidden="1" customHeight="1" outlineLevel="1" x14ac:dyDescent="0.2">
      <c r="A74" s="114"/>
      <c r="B74" s="7"/>
      <c r="C74" s="67"/>
      <c r="D74" s="150" t="s">
        <v>280</v>
      </c>
      <c r="E74" s="135"/>
      <c r="F74" s="135"/>
      <c r="G74" s="135"/>
      <c r="H74" s="36" t="s">
        <v>142</v>
      </c>
      <c r="I74" s="37" t="s">
        <v>135</v>
      </c>
      <c r="J74" s="37" t="s">
        <v>34</v>
      </c>
      <c r="K74" s="37" t="s">
        <v>19</v>
      </c>
      <c r="L74" s="38" t="s">
        <v>6</v>
      </c>
      <c r="M74" s="39" t="s">
        <v>141</v>
      </c>
      <c r="N74" s="40" t="s">
        <v>6</v>
      </c>
      <c r="O74" s="132"/>
      <c r="P74" s="132"/>
      <c r="Q74" s="132"/>
      <c r="R74" s="133"/>
      <c r="S74" s="107">
        <v>135871.70000000001</v>
      </c>
      <c r="T74" s="107">
        <f>-95928.7+117.3-25534.6-6947.1+10000-2195.3</f>
        <v>-120488.40000000001</v>
      </c>
      <c r="U74" s="107">
        <f t="shared" si="2"/>
        <v>15383.300000000003</v>
      </c>
      <c r="V74" s="107">
        <f>417388.6+31416.5+182.7-1729.5</f>
        <v>447258.3</v>
      </c>
      <c r="W74" s="107">
        <f t="shared" si="3"/>
        <v>462641.6</v>
      </c>
      <c r="X74" s="76" t="s">
        <v>410</v>
      </c>
      <c r="Y74" s="21"/>
    </row>
    <row r="75" spans="1:25" ht="77.25" hidden="1" customHeight="1" outlineLevel="1" x14ac:dyDescent="0.2">
      <c r="A75" s="114"/>
      <c r="B75" s="7"/>
      <c r="C75" s="67"/>
      <c r="D75" s="150" t="s">
        <v>281</v>
      </c>
      <c r="E75" s="135"/>
      <c r="F75" s="135"/>
      <c r="G75" s="135"/>
      <c r="H75" s="36" t="s">
        <v>140</v>
      </c>
      <c r="I75" s="37" t="s">
        <v>135</v>
      </c>
      <c r="J75" s="37" t="s">
        <v>34</v>
      </c>
      <c r="K75" s="37" t="s">
        <v>33</v>
      </c>
      <c r="L75" s="38" t="s">
        <v>6</v>
      </c>
      <c r="M75" s="39" t="s">
        <v>139</v>
      </c>
      <c r="N75" s="40" t="s">
        <v>6</v>
      </c>
      <c r="O75" s="132"/>
      <c r="P75" s="132"/>
      <c r="Q75" s="132"/>
      <c r="R75" s="133"/>
      <c r="S75" s="107">
        <v>15884.9</v>
      </c>
      <c r="T75" s="107"/>
      <c r="U75" s="107">
        <f>SUM(S75:T75)</f>
        <v>15884.9</v>
      </c>
      <c r="V75" s="107">
        <f>2030.8+152.9</f>
        <v>2183.6999999999998</v>
      </c>
      <c r="W75" s="107">
        <f>SUM(U75:V75)</f>
        <v>18068.599999999999</v>
      </c>
      <c r="X75" s="65" t="s">
        <v>409</v>
      </c>
      <c r="Y75" s="21"/>
    </row>
    <row r="76" spans="1:25" ht="73.5" hidden="1" customHeight="1" outlineLevel="1" x14ac:dyDescent="0.2">
      <c r="A76" s="114"/>
      <c r="B76" s="7"/>
      <c r="C76" s="67"/>
      <c r="D76" s="150" t="s">
        <v>282</v>
      </c>
      <c r="E76" s="135"/>
      <c r="F76" s="135"/>
      <c r="G76" s="135"/>
      <c r="H76" s="36" t="s">
        <v>138</v>
      </c>
      <c r="I76" s="37" t="s">
        <v>135</v>
      </c>
      <c r="J76" s="37" t="s">
        <v>34</v>
      </c>
      <c r="K76" s="37" t="s">
        <v>137</v>
      </c>
      <c r="L76" s="38" t="s">
        <v>6</v>
      </c>
      <c r="M76" s="39" t="s">
        <v>136</v>
      </c>
      <c r="N76" s="40" t="s">
        <v>6</v>
      </c>
      <c r="O76" s="132"/>
      <c r="P76" s="132"/>
      <c r="Q76" s="132"/>
      <c r="R76" s="133"/>
      <c r="S76" s="107">
        <v>182238.9</v>
      </c>
      <c r="T76" s="107">
        <f>70282.1+159933.7+389.6-3631.5+6947.1</f>
        <v>233921.00000000003</v>
      </c>
      <c r="U76" s="107">
        <f t="shared" si="2"/>
        <v>416159.9</v>
      </c>
      <c r="V76" s="107">
        <v>-74418</v>
      </c>
      <c r="W76" s="107">
        <f t="shared" si="3"/>
        <v>341741.9</v>
      </c>
      <c r="X76" s="118" t="s">
        <v>407</v>
      </c>
      <c r="Y76" s="21"/>
    </row>
    <row r="77" spans="1:25" ht="63" customHeight="1" collapsed="1" x14ac:dyDescent="0.2">
      <c r="A77" s="114"/>
      <c r="B77" s="7"/>
      <c r="C77" s="134" t="s">
        <v>447</v>
      </c>
      <c r="D77" s="135"/>
      <c r="E77" s="135"/>
      <c r="F77" s="135"/>
      <c r="G77" s="135"/>
      <c r="H77" s="36" t="s">
        <v>134</v>
      </c>
      <c r="I77" s="37" t="s">
        <v>135</v>
      </c>
      <c r="J77" s="37" t="s">
        <v>52</v>
      </c>
      <c r="K77" s="37" t="s">
        <v>6</v>
      </c>
      <c r="L77" s="38" t="s">
        <v>6</v>
      </c>
      <c r="M77" s="39" t="s">
        <v>134</v>
      </c>
      <c r="N77" s="40" t="s">
        <v>6</v>
      </c>
      <c r="O77" s="132"/>
      <c r="P77" s="132"/>
      <c r="Q77" s="132"/>
      <c r="R77" s="133"/>
      <c r="S77" s="107">
        <f>S78</f>
        <v>41353.4</v>
      </c>
      <c r="T77" s="107">
        <f>T78</f>
        <v>23569.199999999997</v>
      </c>
      <c r="U77" s="107">
        <f t="shared" si="2"/>
        <v>64922.6</v>
      </c>
      <c r="V77" s="107">
        <f>V78</f>
        <v>-18365.3</v>
      </c>
      <c r="W77" s="107">
        <f t="shared" si="3"/>
        <v>46557.3</v>
      </c>
      <c r="X77" s="65" t="s">
        <v>408</v>
      </c>
      <c r="Y77" s="21"/>
    </row>
    <row r="78" spans="1:25" ht="70.5" hidden="1" customHeight="1" outlineLevel="1" x14ac:dyDescent="0.2">
      <c r="A78" s="114"/>
      <c r="B78" s="7"/>
      <c r="C78" s="67"/>
      <c r="D78" s="144" t="s">
        <v>283</v>
      </c>
      <c r="E78" s="139"/>
      <c r="F78" s="139"/>
      <c r="G78" s="139"/>
      <c r="H78" s="41" t="s">
        <v>134</v>
      </c>
      <c r="I78" s="42" t="s">
        <v>135</v>
      </c>
      <c r="J78" s="42" t="s">
        <v>52</v>
      </c>
      <c r="K78" s="42" t="s">
        <v>19</v>
      </c>
      <c r="L78" s="43" t="s">
        <v>6</v>
      </c>
      <c r="M78" s="44" t="s">
        <v>134</v>
      </c>
      <c r="N78" s="6" t="s">
        <v>6</v>
      </c>
      <c r="O78" s="137"/>
      <c r="P78" s="137"/>
      <c r="Q78" s="137"/>
      <c r="R78" s="138"/>
      <c r="S78" s="109">
        <v>41353.4</v>
      </c>
      <c r="T78" s="109">
        <f>-7402.6-389.6+29166.1+2195.3</f>
        <v>23569.199999999997</v>
      </c>
      <c r="U78" s="109">
        <f t="shared" si="2"/>
        <v>64922.6</v>
      </c>
      <c r="V78" s="109">
        <f>-17081-1284.3</f>
        <v>-18365.3</v>
      </c>
      <c r="W78" s="109">
        <f t="shared" si="3"/>
        <v>46557.3</v>
      </c>
      <c r="X78" s="66" t="s">
        <v>408</v>
      </c>
      <c r="Y78" s="21"/>
    </row>
    <row r="79" spans="1:25" ht="168.75" customHeight="1" collapsed="1" x14ac:dyDescent="0.2">
      <c r="A79" s="114"/>
      <c r="B79" s="64"/>
      <c r="C79" s="147" t="s">
        <v>392</v>
      </c>
      <c r="D79" s="148"/>
      <c r="E79" s="148"/>
      <c r="F79" s="148"/>
      <c r="G79" s="149"/>
      <c r="H79" s="53" t="s">
        <v>133</v>
      </c>
      <c r="I79" s="54" t="s">
        <v>130</v>
      </c>
      <c r="J79" s="54" t="s">
        <v>6</v>
      </c>
      <c r="K79" s="54" t="s">
        <v>6</v>
      </c>
      <c r="L79" s="55" t="s">
        <v>6</v>
      </c>
      <c r="M79" s="56" t="s">
        <v>129</v>
      </c>
      <c r="N79" s="57" t="s">
        <v>6</v>
      </c>
      <c r="O79" s="142"/>
      <c r="P79" s="142"/>
      <c r="Q79" s="142"/>
      <c r="R79" s="143"/>
      <c r="S79" s="110">
        <f>S80+S81+S83+S82</f>
        <v>33694.5</v>
      </c>
      <c r="T79" s="110">
        <f>T80+T81+T82+T83</f>
        <v>308</v>
      </c>
      <c r="U79" s="110">
        <f t="shared" si="2"/>
        <v>34002.5</v>
      </c>
      <c r="V79" s="110">
        <f>V80+V81+V83+V82</f>
        <v>1902.9</v>
      </c>
      <c r="W79" s="103">
        <f t="shared" si="3"/>
        <v>35905.4</v>
      </c>
      <c r="X79" s="75" t="s">
        <v>471</v>
      </c>
      <c r="Y79" s="21"/>
    </row>
    <row r="80" spans="1:25" ht="42.75" hidden="1" customHeight="1" outlineLevel="1" x14ac:dyDescent="0.2">
      <c r="A80" s="114"/>
      <c r="B80" s="7"/>
      <c r="C80" s="67"/>
      <c r="D80" s="144" t="s">
        <v>284</v>
      </c>
      <c r="E80" s="139"/>
      <c r="F80" s="139"/>
      <c r="G80" s="139"/>
      <c r="H80" s="41" t="s">
        <v>132</v>
      </c>
      <c r="I80" s="42" t="s">
        <v>130</v>
      </c>
      <c r="J80" s="42" t="s">
        <v>4</v>
      </c>
      <c r="K80" s="42" t="s">
        <v>19</v>
      </c>
      <c r="L80" s="43" t="s">
        <v>6</v>
      </c>
      <c r="M80" s="44" t="s">
        <v>132</v>
      </c>
      <c r="N80" s="6" t="s">
        <v>6</v>
      </c>
      <c r="O80" s="137"/>
      <c r="P80" s="137"/>
      <c r="Q80" s="137"/>
      <c r="R80" s="138"/>
      <c r="S80" s="109">
        <v>2800</v>
      </c>
      <c r="T80" s="109">
        <f>-1614.9+32.5</f>
        <v>-1582.4</v>
      </c>
      <c r="U80" s="109">
        <f t="shared" si="2"/>
        <v>1217.5999999999999</v>
      </c>
      <c r="V80" s="109">
        <f>250-100</f>
        <v>150</v>
      </c>
      <c r="W80" s="109">
        <f t="shared" si="3"/>
        <v>1367.6</v>
      </c>
      <c r="X80" s="66" t="s">
        <v>369</v>
      </c>
      <c r="Y80" s="21"/>
    </row>
    <row r="81" spans="1:27" ht="61.5" hidden="1" customHeight="1" outlineLevel="1" x14ac:dyDescent="0.2">
      <c r="A81" s="114"/>
      <c r="B81" s="7"/>
      <c r="C81" s="67"/>
      <c r="D81" s="144" t="s">
        <v>285</v>
      </c>
      <c r="E81" s="139"/>
      <c r="F81" s="139"/>
      <c r="G81" s="139"/>
      <c r="H81" s="41" t="s">
        <v>131</v>
      </c>
      <c r="I81" s="42" t="s">
        <v>130</v>
      </c>
      <c r="J81" s="42" t="s">
        <v>4</v>
      </c>
      <c r="K81" s="42" t="s">
        <v>16</v>
      </c>
      <c r="L81" s="43" t="s">
        <v>6</v>
      </c>
      <c r="M81" s="44" t="s">
        <v>131</v>
      </c>
      <c r="N81" s="6" t="s">
        <v>6</v>
      </c>
      <c r="O81" s="137"/>
      <c r="P81" s="137"/>
      <c r="Q81" s="137"/>
      <c r="R81" s="138"/>
      <c r="S81" s="109">
        <v>29894.5</v>
      </c>
      <c r="T81" s="109"/>
      <c r="U81" s="109">
        <f t="shared" si="2"/>
        <v>29894.5</v>
      </c>
      <c r="V81" s="109">
        <f>100</f>
        <v>100</v>
      </c>
      <c r="W81" s="109">
        <f>SUM(U81:V81)</f>
        <v>29994.5</v>
      </c>
      <c r="X81" s="66" t="s">
        <v>358</v>
      </c>
      <c r="Y81" s="21"/>
      <c r="AA81" s="81"/>
    </row>
    <row r="82" spans="1:27" ht="94.5" hidden="1" customHeight="1" outlineLevel="1" x14ac:dyDescent="0.2">
      <c r="A82" s="114"/>
      <c r="B82" s="7"/>
      <c r="C82" s="67"/>
      <c r="D82" s="139" t="s">
        <v>393</v>
      </c>
      <c r="E82" s="139"/>
      <c r="F82" s="139"/>
      <c r="G82" s="139"/>
      <c r="H82" s="41" t="s">
        <v>129</v>
      </c>
      <c r="I82" s="42" t="s">
        <v>130</v>
      </c>
      <c r="J82" s="42" t="s">
        <v>4</v>
      </c>
      <c r="K82" s="42" t="s">
        <v>33</v>
      </c>
      <c r="L82" s="43" t="s">
        <v>6</v>
      </c>
      <c r="M82" s="44" t="s">
        <v>129</v>
      </c>
      <c r="N82" s="6" t="s">
        <v>6</v>
      </c>
      <c r="O82" s="137"/>
      <c r="P82" s="137"/>
      <c r="Q82" s="137"/>
      <c r="R82" s="138"/>
      <c r="S82" s="109">
        <v>1000</v>
      </c>
      <c r="T82" s="109">
        <f>1614.9+275.5</f>
        <v>1890.4</v>
      </c>
      <c r="U82" s="109">
        <f>SUM(S82:T82)</f>
        <v>2890.4</v>
      </c>
      <c r="V82" s="109">
        <f>500+652.9</f>
        <v>1152.9000000000001</v>
      </c>
      <c r="W82" s="109">
        <f>SUM(U82:V82)</f>
        <v>4043.3</v>
      </c>
      <c r="X82" s="66" t="s">
        <v>470</v>
      </c>
      <c r="Y82" s="21"/>
    </row>
    <row r="83" spans="1:27" ht="40.5" hidden="1" customHeight="1" outlineLevel="1" x14ac:dyDescent="0.2">
      <c r="A83" s="114"/>
      <c r="B83" s="7"/>
      <c r="C83" s="67"/>
      <c r="D83" s="139" t="s">
        <v>360</v>
      </c>
      <c r="E83" s="139"/>
      <c r="F83" s="139"/>
      <c r="G83" s="139"/>
      <c r="H83" s="41" t="s">
        <v>129</v>
      </c>
      <c r="I83" s="42" t="s">
        <v>130</v>
      </c>
      <c r="J83" s="42" t="s">
        <v>4</v>
      </c>
      <c r="K83" s="42" t="s">
        <v>361</v>
      </c>
      <c r="L83" s="43" t="s">
        <v>6</v>
      </c>
      <c r="M83" s="44" t="s">
        <v>129</v>
      </c>
      <c r="N83" s="6" t="s">
        <v>6</v>
      </c>
      <c r="O83" s="137"/>
      <c r="P83" s="137"/>
      <c r="Q83" s="137"/>
      <c r="R83" s="138"/>
      <c r="S83" s="109">
        <v>0</v>
      </c>
      <c r="T83" s="109"/>
      <c r="U83" s="109">
        <f t="shared" ref="U83:U115" si="4">SUM(S83:T83)</f>
        <v>0</v>
      </c>
      <c r="V83" s="109">
        <v>500</v>
      </c>
      <c r="W83" s="109">
        <f t="shared" ref="W83:W115" si="5">SUM(U83:V83)</f>
        <v>500</v>
      </c>
      <c r="X83" s="66" t="s">
        <v>362</v>
      </c>
      <c r="Y83" s="21"/>
    </row>
    <row r="84" spans="1:27" ht="22.5" collapsed="1" x14ac:dyDescent="0.2">
      <c r="A84" s="114"/>
      <c r="B84" s="64"/>
      <c r="C84" s="147" t="s">
        <v>423</v>
      </c>
      <c r="D84" s="148"/>
      <c r="E84" s="148"/>
      <c r="F84" s="148"/>
      <c r="G84" s="149"/>
      <c r="H84" s="53" t="s">
        <v>128</v>
      </c>
      <c r="I84" s="54" t="s">
        <v>122</v>
      </c>
      <c r="J84" s="54" t="s">
        <v>6</v>
      </c>
      <c r="K84" s="54" t="s">
        <v>6</v>
      </c>
      <c r="L84" s="55" t="s">
        <v>6</v>
      </c>
      <c r="M84" s="56" t="s">
        <v>121</v>
      </c>
      <c r="N84" s="57" t="s">
        <v>6</v>
      </c>
      <c r="O84" s="142"/>
      <c r="P84" s="142"/>
      <c r="Q84" s="142"/>
      <c r="R84" s="143"/>
      <c r="S84" s="110">
        <f>S85+S88+S90</f>
        <v>130768.5</v>
      </c>
      <c r="T84" s="110">
        <f>T85+T88+T90</f>
        <v>19386.199999999997</v>
      </c>
      <c r="U84" s="110">
        <f t="shared" si="4"/>
        <v>150154.70000000001</v>
      </c>
      <c r="V84" s="110">
        <f>V85+V88+V90</f>
        <v>33092.199999999997</v>
      </c>
      <c r="W84" s="110">
        <f t="shared" si="5"/>
        <v>183246.90000000002</v>
      </c>
      <c r="X84" s="74"/>
      <c r="Y84" s="21"/>
    </row>
    <row r="85" spans="1:27" ht="39" customHeight="1" x14ac:dyDescent="0.2">
      <c r="A85" s="114"/>
      <c r="B85" s="7"/>
      <c r="C85" s="136" t="s">
        <v>286</v>
      </c>
      <c r="D85" s="135"/>
      <c r="E85" s="135"/>
      <c r="F85" s="135"/>
      <c r="G85" s="135"/>
      <c r="H85" s="36" t="s">
        <v>127</v>
      </c>
      <c r="I85" s="37" t="s">
        <v>122</v>
      </c>
      <c r="J85" s="37" t="s">
        <v>30</v>
      </c>
      <c r="K85" s="37" t="s">
        <v>6</v>
      </c>
      <c r="L85" s="38" t="s">
        <v>6</v>
      </c>
      <c r="M85" s="39" t="s">
        <v>125</v>
      </c>
      <c r="N85" s="40" t="s">
        <v>6</v>
      </c>
      <c r="O85" s="132"/>
      <c r="P85" s="132"/>
      <c r="Q85" s="132"/>
      <c r="R85" s="133"/>
      <c r="S85" s="107">
        <f>S86+S87</f>
        <v>20500</v>
      </c>
      <c r="T85" s="107">
        <f>T86+T87</f>
        <v>-4713.6000000000004</v>
      </c>
      <c r="U85" s="107">
        <f t="shared" si="4"/>
        <v>15786.4</v>
      </c>
      <c r="V85" s="107">
        <f>V86+V87</f>
        <v>-20.9</v>
      </c>
      <c r="W85" s="107">
        <f t="shared" si="5"/>
        <v>15765.5</v>
      </c>
      <c r="X85" s="65" t="s">
        <v>385</v>
      </c>
      <c r="Y85" s="21"/>
    </row>
    <row r="86" spans="1:27" ht="89.25" hidden="1" customHeight="1" outlineLevel="1" x14ac:dyDescent="0.2">
      <c r="A86" s="114"/>
      <c r="B86" s="7"/>
      <c r="C86" s="67"/>
      <c r="D86" s="144" t="s">
        <v>287</v>
      </c>
      <c r="E86" s="139"/>
      <c r="F86" s="139"/>
      <c r="G86" s="139"/>
      <c r="H86" s="41" t="s">
        <v>126</v>
      </c>
      <c r="I86" s="42" t="s">
        <v>122</v>
      </c>
      <c r="J86" s="42" t="s">
        <v>30</v>
      </c>
      <c r="K86" s="42" t="s">
        <v>19</v>
      </c>
      <c r="L86" s="43" t="s">
        <v>6</v>
      </c>
      <c r="M86" s="44" t="s">
        <v>126</v>
      </c>
      <c r="N86" s="6" t="s">
        <v>6</v>
      </c>
      <c r="O86" s="137"/>
      <c r="P86" s="137"/>
      <c r="Q86" s="137"/>
      <c r="R86" s="138"/>
      <c r="S86" s="109">
        <v>13000</v>
      </c>
      <c r="T86" s="109">
        <f>-9499.8-3188.7+2474.9</f>
        <v>-10213.6</v>
      </c>
      <c r="U86" s="109">
        <f t="shared" si="4"/>
        <v>2786.3999999999996</v>
      </c>
      <c r="V86" s="109">
        <v>-20.9</v>
      </c>
      <c r="W86" s="109">
        <f t="shared" si="5"/>
        <v>2765.4999999999995</v>
      </c>
      <c r="X86" s="66" t="s">
        <v>385</v>
      </c>
      <c r="Y86" s="21"/>
    </row>
    <row r="87" spans="1:27" ht="35.25" hidden="1" customHeight="1" outlineLevel="1" x14ac:dyDescent="0.2">
      <c r="A87" s="114"/>
      <c r="B87" s="7"/>
      <c r="C87" s="67"/>
      <c r="D87" s="144" t="s">
        <v>288</v>
      </c>
      <c r="E87" s="139"/>
      <c r="F87" s="139"/>
      <c r="G87" s="139"/>
      <c r="H87" s="41" t="s">
        <v>125</v>
      </c>
      <c r="I87" s="42" t="s">
        <v>122</v>
      </c>
      <c r="J87" s="42" t="s">
        <v>30</v>
      </c>
      <c r="K87" s="42" t="s">
        <v>16</v>
      </c>
      <c r="L87" s="43" t="s">
        <v>6</v>
      </c>
      <c r="M87" s="44" t="s">
        <v>125</v>
      </c>
      <c r="N87" s="6" t="s">
        <v>6</v>
      </c>
      <c r="O87" s="137"/>
      <c r="P87" s="137"/>
      <c r="Q87" s="137"/>
      <c r="R87" s="138"/>
      <c r="S87" s="109">
        <v>7500</v>
      </c>
      <c r="T87" s="109">
        <v>5500</v>
      </c>
      <c r="U87" s="109">
        <f t="shared" si="4"/>
        <v>13000</v>
      </c>
      <c r="V87" s="109"/>
      <c r="W87" s="109">
        <f t="shared" si="5"/>
        <v>13000</v>
      </c>
      <c r="X87" s="66"/>
      <c r="Y87" s="21"/>
    </row>
    <row r="88" spans="1:27" ht="50.25" customHeight="1" collapsed="1" x14ac:dyDescent="0.2">
      <c r="A88" s="114"/>
      <c r="B88" s="7"/>
      <c r="C88" s="134" t="s">
        <v>449</v>
      </c>
      <c r="D88" s="135"/>
      <c r="E88" s="135"/>
      <c r="F88" s="135"/>
      <c r="G88" s="135"/>
      <c r="H88" s="36" t="s">
        <v>124</v>
      </c>
      <c r="I88" s="37" t="s">
        <v>122</v>
      </c>
      <c r="J88" s="37" t="s">
        <v>24</v>
      </c>
      <c r="K88" s="37" t="s">
        <v>6</v>
      </c>
      <c r="L88" s="38" t="s">
        <v>6</v>
      </c>
      <c r="M88" s="39" t="s">
        <v>124</v>
      </c>
      <c r="N88" s="40" t="s">
        <v>6</v>
      </c>
      <c r="O88" s="132"/>
      <c r="P88" s="132"/>
      <c r="Q88" s="132"/>
      <c r="R88" s="133"/>
      <c r="S88" s="107">
        <f>S89</f>
        <v>110223.2</v>
      </c>
      <c r="T88" s="107">
        <f>T89</f>
        <v>24099.8</v>
      </c>
      <c r="U88" s="107">
        <f t="shared" si="4"/>
        <v>134323</v>
      </c>
      <c r="V88" s="107">
        <f>V89</f>
        <v>32793.1</v>
      </c>
      <c r="W88" s="107">
        <f t="shared" si="5"/>
        <v>167116.1</v>
      </c>
      <c r="X88" s="65" t="s">
        <v>411</v>
      </c>
      <c r="Y88" s="21"/>
    </row>
    <row r="89" spans="1:27" ht="60.75" hidden="1" customHeight="1" outlineLevel="1" x14ac:dyDescent="0.2">
      <c r="A89" s="114"/>
      <c r="B89" s="7"/>
      <c r="C89" s="67"/>
      <c r="D89" s="144" t="s">
        <v>289</v>
      </c>
      <c r="E89" s="139"/>
      <c r="F89" s="139"/>
      <c r="G89" s="139"/>
      <c r="H89" s="41" t="s">
        <v>124</v>
      </c>
      <c r="I89" s="42" t="s">
        <v>122</v>
      </c>
      <c r="J89" s="42" t="s">
        <v>24</v>
      </c>
      <c r="K89" s="42" t="s">
        <v>19</v>
      </c>
      <c r="L89" s="43" t="s">
        <v>6</v>
      </c>
      <c r="M89" s="44" t="s">
        <v>124</v>
      </c>
      <c r="N89" s="6" t="s">
        <v>6</v>
      </c>
      <c r="O89" s="137"/>
      <c r="P89" s="137"/>
      <c r="Q89" s="137"/>
      <c r="R89" s="138"/>
      <c r="S89" s="109">
        <v>110223.2</v>
      </c>
      <c r="T89" s="109">
        <f>9499.8+14600</f>
        <v>24099.8</v>
      </c>
      <c r="U89" s="109">
        <f t="shared" si="4"/>
        <v>134323</v>
      </c>
      <c r="V89" s="109">
        <f>2793.1+30000</f>
        <v>32793.1</v>
      </c>
      <c r="W89" s="109">
        <f t="shared" si="5"/>
        <v>167116.1</v>
      </c>
      <c r="X89" s="66" t="s">
        <v>411</v>
      </c>
      <c r="Y89" s="21"/>
    </row>
    <row r="90" spans="1:27" ht="45" customHeight="1" collapsed="1" x14ac:dyDescent="0.2">
      <c r="A90" s="114"/>
      <c r="B90" s="7"/>
      <c r="C90" s="134" t="s">
        <v>450</v>
      </c>
      <c r="D90" s="135"/>
      <c r="E90" s="135"/>
      <c r="F90" s="135"/>
      <c r="G90" s="135"/>
      <c r="H90" s="36" t="s">
        <v>123</v>
      </c>
      <c r="I90" s="37" t="s">
        <v>122</v>
      </c>
      <c r="J90" s="37" t="s">
        <v>34</v>
      </c>
      <c r="K90" s="37" t="s">
        <v>6</v>
      </c>
      <c r="L90" s="38" t="s">
        <v>6</v>
      </c>
      <c r="M90" s="39" t="s">
        <v>121</v>
      </c>
      <c r="N90" s="40" t="s">
        <v>6</v>
      </c>
      <c r="O90" s="132"/>
      <c r="P90" s="132"/>
      <c r="Q90" s="132"/>
      <c r="R90" s="133"/>
      <c r="S90" s="107">
        <f>S91</f>
        <v>45.3</v>
      </c>
      <c r="T90" s="107">
        <f>T91</f>
        <v>0</v>
      </c>
      <c r="U90" s="107">
        <f t="shared" si="4"/>
        <v>45.3</v>
      </c>
      <c r="V90" s="107">
        <f>V91</f>
        <v>320</v>
      </c>
      <c r="W90" s="107">
        <f t="shared" si="5"/>
        <v>365.3</v>
      </c>
      <c r="X90" s="65" t="s">
        <v>386</v>
      </c>
      <c r="Y90" s="21"/>
    </row>
    <row r="91" spans="1:27" ht="35.25" hidden="1" customHeight="1" outlineLevel="1" x14ac:dyDescent="0.2">
      <c r="A91" s="114"/>
      <c r="B91" s="7"/>
      <c r="C91" s="67"/>
      <c r="D91" s="144" t="s">
        <v>290</v>
      </c>
      <c r="E91" s="139"/>
      <c r="F91" s="139"/>
      <c r="G91" s="139"/>
      <c r="H91" s="41" t="s">
        <v>123</v>
      </c>
      <c r="I91" s="42" t="s">
        <v>122</v>
      </c>
      <c r="J91" s="42" t="s">
        <v>34</v>
      </c>
      <c r="K91" s="42" t="s">
        <v>19</v>
      </c>
      <c r="L91" s="43" t="s">
        <v>6</v>
      </c>
      <c r="M91" s="44" t="s">
        <v>121</v>
      </c>
      <c r="N91" s="6" t="s">
        <v>6</v>
      </c>
      <c r="O91" s="137"/>
      <c r="P91" s="137"/>
      <c r="Q91" s="137"/>
      <c r="R91" s="138"/>
      <c r="S91" s="109">
        <v>45.3</v>
      </c>
      <c r="T91" s="109"/>
      <c r="U91" s="109">
        <f t="shared" si="4"/>
        <v>45.3</v>
      </c>
      <c r="V91" s="109">
        <v>320</v>
      </c>
      <c r="W91" s="109">
        <f t="shared" si="5"/>
        <v>365.3</v>
      </c>
      <c r="X91" s="66" t="s">
        <v>386</v>
      </c>
      <c r="Y91" s="21"/>
    </row>
    <row r="92" spans="1:27" ht="22.5" collapsed="1" x14ac:dyDescent="0.2">
      <c r="A92" s="114"/>
      <c r="B92" s="64"/>
      <c r="C92" s="147" t="s">
        <v>424</v>
      </c>
      <c r="D92" s="148"/>
      <c r="E92" s="148"/>
      <c r="F92" s="148"/>
      <c r="G92" s="149"/>
      <c r="H92" s="53" t="s">
        <v>120</v>
      </c>
      <c r="I92" s="54" t="s">
        <v>107</v>
      </c>
      <c r="J92" s="54" t="s">
        <v>6</v>
      </c>
      <c r="K92" s="54" t="s">
        <v>6</v>
      </c>
      <c r="L92" s="55" t="s">
        <v>6</v>
      </c>
      <c r="M92" s="56" t="s">
        <v>105</v>
      </c>
      <c r="N92" s="57" t="s">
        <v>6</v>
      </c>
      <c r="O92" s="142"/>
      <c r="P92" s="142"/>
      <c r="Q92" s="142"/>
      <c r="R92" s="143"/>
      <c r="S92" s="110">
        <f>S93+S96+S101+S103+S105</f>
        <v>61440</v>
      </c>
      <c r="T92" s="110">
        <f>T93+T96+T101+T103+T105</f>
        <v>-145.5</v>
      </c>
      <c r="U92" s="110">
        <f t="shared" si="4"/>
        <v>61294.5</v>
      </c>
      <c r="V92" s="110">
        <f>V93+V96+V101+V103+V105</f>
        <v>60327.199999999997</v>
      </c>
      <c r="W92" s="110">
        <f t="shared" si="5"/>
        <v>121621.7</v>
      </c>
      <c r="X92" s="74"/>
      <c r="Y92" s="21"/>
    </row>
    <row r="93" spans="1:27" ht="238.5" customHeight="1" x14ac:dyDescent="0.2">
      <c r="A93" s="114"/>
      <c r="B93" s="7"/>
      <c r="C93" s="134" t="s">
        <v>435</v>
      </c>
      <c r="D93" s="135"/>
      <c r="E93" s="135"/>
      <c r="F93" s="135"/>
      <c r="G93" s="135"/>
      <c r="H93" s="36" t="s">
        <v>119</v>
      </c>
      <c r="I93" s="37" t="s">
        <v>107</v>
      </c>
      <c r="J93" s="37" t="s">
        <v>30</v>
      </c>
      <c r="K93" s="37" t="s">
        <v>6</v>
      </c>
      <c r="L93" s="38" t="s">
        <v>6</v>
      </c>
      <c r="M93" s="39" t="s">
        <v>115</v>
      </c>
      <c r="N93" s="40" t="s">
        <v>6</v>
      </c>
      <c r="O93" s="132"/>
      <c r="P93" s="132"/>
      <c r="Q93" s="132"/>
      <c r="R93" s="133"/>
      <c r="S93" s="107">
        <f>S94+S95</f>
        <v>37408.6</v>
      </c>
      <c r="T93" s="107">
        <f>T94+T95</f>
        <v>-145.5</v>
      </c>
      <c r="U93" s="107">
        <f t="shared" si="4"/>
        <v>37263.1</v>
      </c>
      <c r="V93" s="107">
        <f>V94+V95</f>
        <v>13219.699999999999</v>
      </c>
      <c r="W93" s="107">
        <f t="shared" si="5"/>
        <v>50482.799999999996</v>
      </c>
      <c r="X93" s="65" t="s">
        <v>465</v>
      </c>
      <c r="Y93" s="21"/>
    </row>
    <row r="94" spans="1:27" ht="69" hidden="1" customHeight="1" outlineLevel="2" x14ac:dyDescent="0.2">
      <c r="A94" s="114"/>
      <c r="B94" s="7"/>
      <c r="C94" s="67"/>
      <c r="D94" s="139" t="s">
        <v>457</v>
      </c>
      <c r="E94" s="139"/>
      <c r="F94" s="139"/>
      <c r="G94" s="139"/>
      <c r="H94" s="41" t="s">
        <v>118</v>
      </c>
      <c r="I94" s="42" t="s">
        <v>107</v>
      </c>
      <c r="J94" s="42" t="s">
        <v>30</v>
      </c>
      <c r="K94" s="42" t="s">
        <v>19</v>
      </c>
      <c r="L94" s="43" t="s">
        <v>6</v>
      </c>
      <c r="M94" s="44" t="s">
        <v>117</v>
      </c>
      <c r="N94" s="6" t="s">
        <v>6</v>
      </c>
      <c r="O94" s="137"/>
      <c r="P94" s="137"/>
      <c r="Q94" s="137"/>
      <c r="R94" s="138"/>
      <c r="S94" s="109">
        <v>2559.6</v>
      </c>
      <c r="T94" s="109"/>
      <c r="U94" s="109">
        <f t="shared" si="4"/>
        <v>2559.6</v>
      </c>
      <c r="V94" s="109">
        <f>2080+529.3+462.6</f>
        <v>3071.9</v>
      </c>
      <c r="W94" s="109">
        <f t="shared" si="5"/>
        <v>5631.5</v>
      </c>
      <c r="X94" s="66" t="s">
        <v>412</v>
      </c>
      <c r="Y94" s="21"/>
    </row>
    <row r="95" spans="1:27" ht="181.5" hidden="1" customHeight="1" outlineLevel="2" x14ac:dyDescent="0.2">
      <c r="A95" s="114"/>
      <c r="B95" s="7"/>
      <c r="C95" s="67"/>
      <c r="D95" s="144" t="s">
        <v>291</v>
      </c>
      <c r="E95" s="139"/>
      <c r="F95" s="139"/>
      <c r="G95" s="139"/>
      <c r="H95" s="41" t="s">
        <v>116</v>
      </c>
      <c r="I95" s="42" t="s">
        <v>107</v>
      </c>
      <c r="J95" s="42" t="s">
        <v>30</v>
      </c>
      <c r="K95" s="42" t="s">
        <v>16</v>
      </c>
      <c r="L95" s="43" t="s">
        <v>6</v>
      </c>
      <c r="M95" s="44" t="s">
        <v>115</v>
      </c>
      <c r="N95" s="6" t="s">
        <v>6</v>
      </c>
      <c r="O95" s="137"/>
      <c r="P95" s="137"/>
      <c r="Q95" s="137"/>
      <c r="R95" s="138"/>
      <c r="S95" s="109">
        <v>34849</v>
      </c>
      <c r="T95" s="109">
        <f>24.5-170</f>
        <v>-145.5</v>
      </c>
      <c r="U95" s="109">
        <f t="shared" si="4"/>
        <v>34703.5</v>
      </c>
      <c r="V95" s="109">
        <v>10147.799999999999</v>
      </c>
      <c r="W95" s="109">
        <f t="shared" si="5"/>
        <v>44851.3</v>
      </c>
      <c r="X95" s="66" t="s">
        <v>468</v>
      </c>
      <c r="Y95" s="21"/>
    </row>
    <row r="96" spans="1:27" ht="95.25" customHeight="1" collapsed="1" x14ac:dyDescent="0.2">
      <c r="A96" s="114"/>
      <c r="B96" s="7"/>
      <c r="C96" s="134" t="s">
        <v>436</v>
      </c>
      <c r="D96" s="135"/>
      <c r="E96" s="135"/>
      <c r="F96" s="135"/>
      <c r="G96" s="135"/>
      <c r="H96" s="36" t="s">
        <v>114</v>
      </c>
      <c r="I96" s="37" t="s">
        <v>107</v>
      </c>
      <c r="J96" s="37" t="s">
        <v>24</v>
      </c>
      <c r="K96" s="37" t="s">
        <v>6</v>
      </c>
      <c r="L96" s="38" t="s">
        <v>6</v>
      </c>
      <c r="M96" s="39" t="s">
        <v>110</v>
      </c>
      <c r="N96" s="40" t="s">
        <v>6</v>
      </c>
      <c r="O96" s="132"/>
      <c r="P96" s="132"/>
      <c r="Q96" s="132"/>
      <c r="R96" s="133"/>
      <c r="S96" s="107">
        <f>S97+S98+S99</f>
        <v>20287.400000000001</v>
      </c>
      <c r="T96" s="107">
        <f>T97+T98+T99</f>
        <v>0</v>
      </c>
      <c r="U96" s="107">
        <f t="shared" si="4"/>
        <v>20287.400000000001</v>
      </c>
      <c r="V96" s="107">
        <f>V97+V98+V99+V100</f>
        <v>47815.9</v>
      </c>
      <c r="W96" s="107">
        <f t="shared" si="5"/>
        <v>68103.3</v>
      </c>
      <c r="X96" s="65" t="s">
        <v>475</v>
      </c>
      <c r="Y96" s="21"/>
    </row>
    <row r="97" spans="1:25" ht="75.75" hidden="1" customHeight="1" outlineLevel="1" x14ac:dyDescent="0.2">
      <c r="A97" s="114"/>
      <c r="B97" s="7"/>
      <c r="C97" s="67"/>
      <c r="D97" s="144" t="s">
        <v>292</v>
      </c>
      <c r="E97" s="139"/>
      <c r="F97" s="139"/>
      <c r="G97" s="139"/>
      <c r="H97" s="41" t="s">
        <v>113</v>
      </c>
      <c r="I97" s="42" t="s">
        <v>107</v>
      </c>
      <c r="J97" s="42" t="s">
        <v>24</v>
      </c>
      <c r="K97" s="42" t="s">
        <v>19</v>
      </c>
      <c r="L97" s="43" t="s">
        <v>6</v>
      </c>
      <c r="M97" s="44" t="s">
        <v>112</v>
      </c>
      <c r="N97" s="6" t="s">
        <v>6</v>
      </c>
      <c r="O97" s="137"/>
      <c r="P97" s="137"/>
      <c r="Q97" s="137"/>
      <c r="R97" s="138"/>
      <c r="S97" s="109">
        <v>9778.7999999999993</v>
      </c>
      <c r="T97" s="109"/>
      <c r="U97" s="109">
        <f t="shared" si="4"/>
        <v>9778.7999999999993</v>
      </c>
      <c r="V97" s="109">
        <v>-225</v>
      </c>
      <c r="W97" s="109">
        <f t="shared" si="5"/>
        <v>9553.7999999999993</v>
      </c>
      <c r="X97" s="66" t="s">
        <v>388</v>
      </c>
      <c r="Y97" s="21"/>
    </row>
    <row r="98" spans="1:25" ht="45" hidden="1" customHeight="1" outlineLevel="1" x14ac:dyDescent="0.2">
      <c r="A98" s="114"/>
      <c r="B98" s="7"/>
      <c r="C98" s="67"/>
      <c r="D98" s="144" t="s">
        <v>293</v>
      </c>
      <c r="E98" s="139"/>
      <c r="F98" s="139"/>
      <c r="G98" s="139"/>
      <c r="H98" s="41" t="s">
        <v>111</v>
      </c>
      <c r="I98" s="42" t="s">
        <v>107</v>
      </c>
      <c r="J98" s="42" t="s">
        <v>24</v>
      </c>
      <c r="K98" s="42" t="s">
        <v>16</v>
      </c>
      <c r="L98" s="43" t="s">
        <v>6</v>
      </c>
      <c r="M98" s="44" t="s">
        <v>111</v>
      </c>
      <c r="N98" s="6" t="s">
        <v>6</v>
      </c>
      <c r="O98" s="137"/>
      <c r="P98" s="137"/>
      <c r="Q98" s="137"/>
      <c r="R98" s="138"/>
      <c r="S98" s="109">
        <v>4797</v>
      </c>
      <c r="T98" s="109"/>
      <c r="U98" s="109">
        <f t="shared" si="4"/>
        <v>4797</v>
      </c>
      <c r="V98" s="109">
        <v>1000</v>
      </c>
      <c r="W98" s="109">
        <f t="shared" si="5"/>
        <v>5797</v>
      </c>
      <c r="X98" s="66" t="s">
        <v>415</v>
      </c>
      <c r="Y98" s="21"/>
    </row>
    <row r="99" spans="1:25" ht="90" hidden="1" outlineLevel="1" x14ac:dyDescent="0.2">
      <c r="A99" s="114"/>
      <c r="B99" s="7"/>
      <c r="C99" s="67"/>
      <c r="D99" s="144" t="s">
        <v>294</v>
      </c>
      <c r="E99" s="139"/>
      <c r="F99" s="139"/>
      <c r="G99" s="139"/>
      <c r="H99" s="41" t="s">
        <v>110</v>
      </c>
      <c r="I99" s="42" t="s">
        <v>107</v>
      </c>
      <c r="J99" s="42" t="s">
        <v>24</v>
      </c>
      <c r="K99" s="42" t="s">
        <v>33</v>
      </c>
      <c r="L99" s="43" t="s">
        <v>6</v>
      </c>
      <c r="M99" s="44" t="s">
        <v>110</v>
      </c>
      <c r="N99" s="6" t="s">
        <v>6</v>
      </c>
      <c r="O99" s="137"/>
      <c r="P99" s="137"/>
      <c r="Q99" s="137"/>
      <c r="R99" s="138"/>
      <c r="S99" s="109">
        <v>5711.6</v>
      </c>
      <c r="T99" s="109"/>
      <c r="U99" s="109">
        <f t="shared" si="4"/>
        <v>5711.6</v>
      </c>
      <c r="V99" s="109">
        <f>225-375.9+150</f>
        <v>-0.89999999999997726</v>
      </c>
      <c r="W99" s="109">
        <f t="shared" si="5"/>
        <v>5710.7000000000007</v>
      </c>
      <c r="X99" s="66" t="s">
        <v>389</v>
      </c>
      <c r="Y99" s="21"/>
    </row>
    <row r="100" spans="1:25" ht="54.75" hidden="1" customHeight="1" outlineLevel="1" x14ac:dyDescent="0.2">
      <c r="A100" s="155" t="s">
        <v>399</v>
      </c>
      <c r="B100" s="156"/>
      <c r="C100" s="156"/>
      <c r="D100" s="156"/>
      <c r="E100" s="156"/>
      <c r="F100" s="156"/>
      <c r="G100" s="157"/>
      <c r="H100" s="41"/>
      <c r="I100" s="42" t="s">
        <v>107</v>
      </c>
      <c r="J100" s="42" t="s">
        <v>24</v>
      </c>
      <c r="K100" s="99" t="s">
        <v>14</v>
      </c>
      <c r="L100" s="43"/>
      <c r="M100" s="44"/>
      <c r="N100" s="6"/>
      <c r="O100" s="108"/>
      <c r="P100" s="108"/>
      <c r="Q100" s="108"/>
      <c r="R100" s="109"/>
      <c r="S100" s="109"/>
      <c r="T100" s="109"/>
      <c r="U100" s="109">
        <v>0</v>
      </c>
      <c r="V100" s="109">
        <v>47041.8</v>
      </c>
      <c r="W100" s="109">
        <f>U100+V100</f>
        <v>47041.8</v>
      </c>
      <c r="X100" s="66" t="s">
        <v>400</v>
      </c>
      <c r="Y100" s="21"/>
    </row>
    <row r="101" spans="1:25" ht="42.75" customHeight="1" collapsed="1" x14ac:dyDescent="0.2">
      <c r="A101" s="114"/>
      <c r="B101" s="7"/>
      <c r="C101" s="134" t="s">
        <v>451</v>
      </c>
      <c r="D101" s="135"/>
      <c r="E101" s="135"/>
      <c r="F101" s="135"/>
      <c r="G101" s="135"/>
      <c r="H101" s="36" t="s">
        <v>109</v>
      </c>
      <c r="I101" s="37" t="s">
        <v>107</v>
      </c>
      <c r="J101" s="37" t="s">
        <v>34</v>
      </c>
      <c r="K101" s="37" t="s">
        <v>6</v>
      </c>
      <c r="L101" s="38" t="s">
        <v>6</v>
      </c>
      <c r="M101" s="39" t="s">
        <v>109</v>
      </c>
      <c r="N101" s="40" t="s">
        <v>6</v>
      </c>
      <c r="O101" s="132"/>
      <c r="P101" s="132"/>
      <c r="Q101" s="132"/>
      <c r="R101" s="133"/>
      <c r="S101" s="107">
        <f>S102</f>
        <v>1294</v>
      </c>
      <c r="T101" s="107">
        <f>T102</f>
        <v>0</v>
      </c>
      <c r="U101" s="107">
        <f t="shared" si="4"/>
        <v>1294</v>
      </c>
      <c r="V101" s="107">
        <f>V102</f>
        <v>-703.5</v>
      </c>
      <c r="W101" s="107">
        <f t="shared" si="5"/>
        <v>590.5</v>
      </c>
      <c r="X101" s="65" t="s">
        <v>413</v>
      </c>
      <c r="Y101" s="21"/>
    </row>
    <row r="102" spans="1:25" ht="14.25" hidden="1" customHeight="1" outlineLevel="1" x14ac:dyDescent="0.2">
      <c r="A102" s="114"/>
      <c r="B102" s="7"/>
      <c r="C102" s="67"/>
      <c r="D102" s="144" t="s">
        <v>295</v>
      </c>
      <c r="E102" s="139"/>
      <c r="F102" s="139"/>
      <c r="G102" s="139"/>
      <c r="H102" s="41" t="s">
        <v>109</v>
      </c>
      <c r="I102" s="42" t="s">
        <v>107</v>
      </c>
      <c r="J102" s="42" t="s">
        <v>34</v>
      </c>
      <c r="K102" s="42" t="s">
        <v>19</v>
      </c>
      <c r="L102" s="43" t="s">
        <v>6</v>
      </c>
      <c r="M102" s="44" t="s">
        <v>109</v>
      </c>
      <c r="N102" s="6" t="s">
        <v>6</v>
      </c>
      <c r="O102" s="137"/>
      <c r="P102" s="137"/>
      <c r="Q102" s="137"/>
      <c r="R102" s="138"/>
      <c r="S102" s="109">
        <v>1294</v>
      </c>
      <c r="T102" s="109"/>
      <c r="U102" s="109">
        <f t="shared" si="4"/>
        <v>1294</v>
      </c>
      <c r="V102" s="109">
        <f>-700-3.4-0.1</f>
        <v>-703.5</v>
      </c>
      <c r="W102" s="109">
        <f t="shared" si="5"/>
        <v>590.5</v>
      </c>
      <c r="X102" s="66" t="s">
        <v>469</v>
      </c>
      <c r="Y102" s="21"/>
    </row>
    <row r="103" spans="1:25" ht="21.75" customHeight="1" collapsed="1" x14ac:dyDescent="0.2">
      <c r="A103" s="114"/>
      <c r="B103" s="7"/>
      <c r="C103" s="134" t="s">
        <v>452</v>
      </c>
      <c r="D103" s="135"/>
      <c r="E103" s="135"/>
      <c r="F103" s="135"/>
      <c r="G103" s="135"/>
      <c r="H103" s="36" t="s">
        <v>108</v>
      </c>
      <c r="I103" s="37" t="s">
        <v>107</v>
      </c>
      <c r="J103" s="37" t="s">
        <v>52</v>
      </c>
      <c r="K103" s="37" t="s">
        <v>6</v>
      </c>
      <c r="L103" s="38" t="s">
        <v>6</v>
      </c>
      <c r="M103" s="39" t="s">
        <v>108</v>
      </c>
      <c r="N103" s="40" t="s">
        <v>6</v>
      </c>
      <c r="O103" s="132"/>
      <c r="P103" s="132"/>
      <c r="Q103" s="132"/>
      <c r="R103" s="133"/>
      <c r="S103" s="107">
        <f>S104</f>
        <v>750</v>
      </c>
      <c r="T103" s="107">
        <f>T104</f>
        <v>0</v>
      </c>
      <c r="U103" s="107">
        <f t="shared" si="4"/>
        <v>750</v>
      </c>
      <c r="V103" s="107">
        <f>V104</f>
        <v>-4.9000000000000004</v>
      </c>
      <c r="W103" s="107">
        <f t="shared" si="5"/>
        <v>745.1</v>
      </c>
      <c r="X103" s="65" t="s">
        <v>401</v>
      </c>
      <c r="Y103" s="21"/>
    </row>
    <row r="104" spans="1:25" ht="27.75" hidden="1" customHeight="1" outlineLevel="1" x14ac:dyDescent="0.2">
      <c r="A104" s="114"/>
      <c r="B104" s="7"/>
      <c r="C104" s="67"/>
      <c r="D104" s="144" t="s">
        <v>296</v>
      </c>
      <c r="E104" s="139"/>
      <c r="F104" s="139"/>
      <c r="G104" s="139"/>
      <c r="H104" s="41" t="s">
        <v>108</v>
      </c>
      <c r="I104" s="42" t="s">
        <v>107</v>
      </c>
      <c r="J104" s="42" t="s">
        <v>52</v>
      </c>
      <c r="K104" s="42" t="s">
        <v>19</v>
      </c>
      <c r="L104" s="43" t="s">
        <v>6</v>
      </c>
      <c r="M104" s="44" t="s">
        <v>108</v>
      </c>
      <c r="N104" s="6" t="s">
        <v>6</v>
      </c>
      <c r="O104" s="137"/>
      <c r="P104" s="137"/>
      <c r="Q104" s="137"/>
      <c r="R104" s="138"/>
      <c r="S104" s="109">
        <v>750</v>
      </c>
      <c r="T104" s="109"/>
      <c r="U104" s="109">
        <f t="shared" si="4"/>
        <v>750</v>
      </c>
      <c r="V104" s="109">
        <f>-4-0.9</f>
        <v>-4.9000000000000004</v>
      </c>
      <c r="W104" s="109">
        <f t="shared" si="5"/>
        <v>745.1</v>
      </c>
      <c r="X104" s="66" t="s">
        <v>401</v>
      </c>
      <c r="Y104" s="21"/>
    </row>
    <row r="105" spans="1:25" ht="21.75" customHeight="1" collapsed="1" x14ac:dyDescent="0.2">
      <c r="A105" s="114"/>
      <c r="B105" s="7"/>
      <c r="C105" s="134" t="s">
        <v>438</v>
      </c>
      <c r="D105" s="135"/>
      <c r="E105" s="135"/>
      <c r="F105" s="135"/>
      <c r="G105" s="135"/>
      <c r="H105" s="36" t="s">
        <v>105</v>
      </c>
      <c r="I105" s="37" t="s">
        <v>107</v>
      </c>
      <c r="J105" s="37" t="s">
        <v>106</v>
      </c>
      <c r="K105" s="37" t="s">
        <v>6</v>
      </c>
      <c r="L105" s="38" t="s">
        <v>6</v>
      </c>
      <c r="M105" s="39" t="s">
        <v>105</v>
      </c>
      <c r="N105" s="40" t="s">
        <v>6</v>
      </c>
      <c r="O105" s="132"/>
      <c r="P105" s="132"/>
      <c r="Q105" s="132"/>
      <c r="R105" s="133"/>
      <c r="S105" s="107">
        <f>S106</f>
        <v>1700</v>
      </c>
      <c r="T105" s="107">
        <f>T106</f>
        <v>0</v>
      </c>
      <c r="U105" s="107">
        <f t="shared" si="4"/>
        <v>1700</v>
      </c>
      <c r="V105" s="107">
        <f>V106</f>
        <v>0</v>
      </c>
      <c r="W105" s="107">
        <f t="shared" si="5"/>
        <v>1700</v>
      </c>
      <c r="X105" s="65"/>
      <c r="Y105" s="21"/>
    </row>
    <row r="106" spans="1:25" ht="28.5" hidden="1" customHeight="1" outlineLevel="1" x14ac:dyDescent="0.2">
      <c r="A106" s="114"/>
      <c r="B106" s="7"/>
      <c r="C106" s="67"/>
      <c r="D106" s="139" t="s">
        <v>437</v>
      </c>
      <c r="E106" s="139"/>
      <c r="F106" s="139"/>
      <c r="G106" s="139"/>
      <c r="H106" s="41" t="s">
        <v>105</v>
      </c>
      <c r="I106" s="42" t="s">
        <v>107</v>
      </c>
      <c r="J106" s="42" t="s">
        <v>106</v>
      </c>
      <c r="K106" s="42" t="s">
        <v>19</v>
      </c>
      <c r="L106" s="43" t="s">
        <v>6</v>
      </c>
      <c r="M106" s="44" t="s">
        <v>105</v>
      </c>
      <c r="N106" s="6" t="s">
        <v>6</v>
      </c>
      <c r="O106" s="137"/>
      <c r="P106" s="137"/>
      <c r="Q106" s="137"/>
      <c r="R106" s="138"/>
      <c r="S106" s="109">
        <v>1700</v>
      </c>
      <c r="T106" s="109"/>
      <c r="U106" s="109">
        <f t="shared" si="4"/>
        <v>1700</v>
      </c>
      <c r="V106" s="109"/>
      <c r="W106" s="109">
        <f t="shared" si="5"/>
        <v>1700</v>
      </c>
      <c r="X106" s="66"/>
      <c r="Y106" s="21"/>
    </row>
    <row r="107" spans="1:25" ht="49.5" customHeight="1" collapsed="1" x14ac:dyDescent="0.2">
      <c r="A107" s="114"/>
      <c r="B107" s="64"/>
      <c r="C107" s="147" t="s">
        <v>425</v>
      </c>
      <c r="D107" s="148"/>
      <c r="E107" s="148"/>
      <c r="F107" s="148"/>
      <c r="G107" s="149"/>
      <c r="H107" s="53" t="s">
        <v>104</v>
      </c>
      <c r="I107" s="54" t="s">
        <v>103</v>
      </c>
      <c r="J107" s="54" t="s">
        <v>6</v>
      </c>
      <c r="K107" s="54" t="s">
        <v>6</v>
      </c>
      <c r="L107" s="55" t="s">
        <v>6</v>
      </c>
      <c r="M107" s="56" t="s">
        <v>102</v>
      </c>
      <c r="N107" s="57" t="s">
        <v>6</v>
      </c>
      <c r="O107" s="142"/>
      <c r="P107" s="142"/>
      <c r="Q107" s="142"/>
      <c r="R107" s="143"/>
      <c r="S107" s="110">
        <f>S108</f>
        <v>8917.1</v>
      </c>
      <c r="T107" s="110">
        <f>T108</f>
        <v>0</v>
      </c>
      <c r="U107" s="110">
        <f t="shared" si="4"/>
        <v>8917.1</v>
      </c>
      <c r="V107" s="110">
        <f>V108</f>
        <v>-2183.6999999999998</v>
      </c>
      <c r="W107" s="110">
        <f t="shared" si="5"/>
        <v>6733.4000000000005</v>
      </c>
      <c r="X107" s="75" t="s">
        <v>460</v>
      </c>
      <c r="Y107" s="21"/>
    </row>
    <row r="108" spans="1:25" ht="56.25" hidden="1" customHeight="1" outlineLevel="1" x14ac:dyDescent="0.2">
      <c r="A108" s="114"/>
      <c r="B108" s="7"/>
      <c r="C108" s="67"/>
      <c r="D108" s="144" t="s">
        <v>352</v>
      </c>
      <c r="E108" s="139"/>
      <c r="F108" s="139"/>
      <c r="G108" s="139"/>
      <c r="H108" s="41" t="s">
        <v>104</v>
      </c>
      <c r="I108" s="42" t="s">
        <v>103</v>
      </c>
      <c r="J108" s="42" t="s">
        <v>4</v>
      </c>
      <c r="K108" s="42" t="s">
        <v>19</v>
      </c>
      <c r="L108" s="43" t="s">
        <v>6</v>
      </c>
      <c r="M108" s="44" t="s">
        <v>102</v>
      </c>
      <c r="N108" s="6" t="s">
        <v>6</v>
      </c>
      <c r="O108" s="137"/>
      <c r="P108" s="137"/>
      <c r="Q108" s="137"/>
      <c r="R108" s="138"/>
      <c r="S108" s="109">
        <v>8917.1</v>
      </c>
      <c r="T108" s="109"/>
      <c r="U108" s="109">
        <f t="shared" si="4"/>
        <v>8917.1</v>
      </c>
      <c r="V108" s="109">
        <v>-2183.6999999999998</v>
      </c>
      <c r="W108" s="109">
        <f t="shared" si="5"/>
        <v>6733.4000000000005</v>
      </c>
      <c r="X108" s="66" t="s">
        <v>402</v>
      </c>
      <c r="Y108" s="21"/>
    </row>
    <row r="109" spans="1:25" ht="29.25" customHeight="1" collapsed="1" x14ac:dyDescent="0.2">
      <c r="A109" s="114"/>
      <c r="B109" s="64"/>
      <c r="C109" s="147" t="s">
        <v>439</v>
      </c>
      <c r="D109" s="148"/>
      <c r="E109" s="148"/>
      <c r="F109" s="148"/>
      <c r="G109" s="149"/>
      <c r="H109" s="58" t="s">
        <v>100</v>
      </c>
      <c r="I109" s="54" t="s">
        <v>101</v>
      </c>
      <c r="J109" s="59" t="s">
        <v>6</v>
      </c>
      <c r="K109" s="59" t="s">
        <v>6</v>
      </c>
      <c r="L109" s="60" t="s">
        <v>6</v>
      </c>
      <c r="M109" s="61" t="s">
        <v>100</v>
      </c>
      <c r="N109" s="62" t="s">
        <v>6</v>
      </c>
      <c r="O109" s="151"/>
      <c r="P109" s="151"/>
      <c r="Q109" s="151"/>
      <c r="R109" s="152"/>
      <c r="S109" s="63">
        <f>S110</f>
        <v>3594.4</v>
      </c>
      <c r="T109" s="63">
        <f>T110</f>
        <v>102.1</v>
      </c>
      <c r="U109" s="63">
        <f t="shared" si="4"/>
        <v>3696.5</v>
      </c>
      <c r="V109" s="63">
        <f>V110</f>
        <v>0</v>
      </c>
      <c r="W109" s="63">
        <f t="shared" si="5"/>
        <v>3696.5</v>
      </c>
      <c r="X109" s="75"/>
      <c r="Y109" s="21"/>
    </row>
    <row r="110" spans="1:25" ht="75.75" hidden="1" customHeight="1" outlineLevel="1" x14ac:dyDescent="0.2">
      <c r="A110" s="114"/>
      <c r="B110" s="7"/>
      <c r="C110" s="67"/>
      <c r="D110" s="144" t="s">
        <v>297</v>
      </c>
      <c r="E110" s="139"/>
      <c r="F110" s="139"/>
      <c r="G110" s="139"/>
      <c r="H110" s="41" t="s">
        <v>100</v>
      </c>
      <c r="I110" s="42" t="s">
        <v>101</v>
      </c>
      <c r="J110" s="42" t="s">
        <v>4</v>
      </c>
      <c r="K110" s="42" t="s">
        <v>19</v>
      </c>
      <c r="L110" s="43" t="s">
        <v>6</v>
      </c>
      <c r="M110" s="44" t="s">
        <v>100</v>
      </c>
      <c r="N110" s="6" t="s">
        <v>6</v>
      </c>
      <c r="O110" s="137"/>
      <c r="P110" s="137"/>
      <c r="Q110" s="137"/>
      <c r="R110" s="138"/>
      <c r="S110" s="109">
        <v>3594.4</v>
      </c>
      <c r="T110" s="109">
        <v>102.1</v>
      </c>
      <c r="U110" s="108">
        <f t="shared" si="4"/>
        <v>3696.5</v>
      </c>
      <c r="V110" s="109"/>
      <c r="W110" s="108">
        <f t="shared" si="5"/>
        <v>3696.5</v>
      </c>
      <c r="X110" s="119"/>
      <c r="Y110" s="21"/>
    </row>
    <row r="111" spans="1:25" ht="39.75" customHeight="1" collapsed="1" x14ac:dyDescent="0.2">
      <c r="A111" s="114"/>
      <c r="B111" s="64"/>
      <c r="C111" s="147" t="s">
        <v>453</v>
      </c>
      <c r="D111" s="148"/>
      <c r="E111" s="148"/>
      <c r="F111" s="148"/>
      <c r="G111" s="149"/>
      <c r="H111" s="53" t="s">
        <v>99</v>
      </c>
      <c r="I111" s="54" t="s">
        <v>92</v>
      </c>
      <c r="J111" s="54" t="s">
        <v>6</v>
      </c>
      <c r="K111" s="54" t="s">
        <v>6</v>
      </c>
      <c r="L111" s="55" t="s">
        <v>6</v>
      </c>
      <c r="M111" s="56" t="s">
        <v>91</v>
      </c>
      <c r="N111" s="57" t="s">
        <v>6</v>
      </c>
      <c r="O111" s="142"/>
      <c r="P111" s="142"/>
      <c r="Q111" s="142"/>
      <c r="R111" s="143"/>
      <c r="S111" s="110">
        <f>S112+S117</f>
        <v>570.6</v>
      </c>
      <c r="T111" s="110">
        <f>T112+T117</f>
        <v>0</v>
      </c>
      <c r="U111" s="110">
        <f t="shared" si="4"/>
        <v>570.6</v>
      </c>
      <c r="V111" s="110">
        <f>V112+V117</f>
        <v>0</v>
      </c>
      <c r="W111" s="110">
        <f t="shared" si="5"/>
        <v>570.6</v>
      </c>
      <c r="X111" s="74"/>
      <c r="Y111" s="21"/>
    </row>
    <row r="112" spans="1:25" ht="12.75" customHeight="1" x14ac:dyDescent="0.2">
      <c r="A112" s="114"/>
      <c r="B112" s="7"/>
      <c r="C112" s="136" t="s">
        <v>298</v>
      </c>
      <c r="D112" s="135"/>
      <c r="E112" s="135"/>
      <c r="F112" s="135"/>
      <c r="G112" s="135"/>
      <c r="H112" s="36" t="s">
        <v>98</v>
      </c>
      <c r="I112" s="37" t="s">
        <v>92</v>
      </c>
      <c r="J112" s="37" t="s">
        <v>30</v>
      </c>
      <c r="K112" s="37" t="s">
        <v>6</v>
      </c>
      <c r="L112" s="38" t="s">
        <v>6</v>
      </c>
      <c r="M112" s="39" t="s">
        <v>93</v>
      </c>
      <c r="N112" s="40" t="s">
        <v>6</v>
      </c>
      <c r="O112" s="132"/>
      <c r="P112" s="132"/>
      <c r="Q112" s="132"/>
      <c r="R112" s="133"/>
      <c r="S112" s="107">
        <f>S113+S114+S115+S116</f>
        <v>420.6</v>
      </c>
      <c r="T112" s="107">
        <f>T113+T114+T115+T116</f>
        <v>0</v>
      </c>
      <c r="U112" s="107">
        <f t="shared" si="4"/>
        <v>420.6</v>
      </c>
      <c r="V112" s="107">
        <f>V113+V114+V115+V116</f>
        <v>0</v>
      </c>
      <c r="W112" s="107">
        <f t="shared" si="5"/>
        <v>420.6</v>
      </c>
      <c r="X112" s="65"/>
      <c r="Y112" s="21"/>
    </row>
    <row r="113" spans="1:25" ht="12.75" hidden="1" customHeight="1" outlineLevel="1" x14ac:dyDescent="0.2">
      <c r="A113" s="114"/>
      <c r="B113" s="7"/>
      <c r="C113" s="67"/>
      <c r="D113" s="144" t="s">
        <v>299</v>
      </c>
      <c r="E113" s="139"/>
      <c r="F113" s="139"/>
      <c r="G113" s="139"/>
      <c r="H113" s="41" t="s">
        <v>97</v>
      </c>
      <c r="I113" s="42" t="s">
        <v>92</v>
      </c>
      <c r="J113" s="42" t="s">
        <v>30</v>
      </c>
      <c r="K113" s="42" t="s">
        <v>19</v>
      </c>
      <c r="L113" s="43" t="s">
        <v>6</v>
      </c>
      <c r="M113" s="44" t="s">
        <v>96</v>
      </c>
      <c r="N113" s="6" t="s">
        <v>6</v>
      </c>
      <c r="O113" s="137"/>
      <c r="P113" s="137"/>
      <c r="Q113" s="137"/>
      <c r="R113" s="138"/>
      <c r="S113" s="109">
        <v>70.599999999999994</v>
      </c>
      <c r="T113" s="109"/>
      <c r="U113" s="109">
        <f t="shared" si="4"/>
        <v>70.599999999999994</v>
      </c>
      <c r="V113" s="109"/>
      <c r="W113" s="109">
        <f t="shared" si="5"/>
        <v>70.599999999999994</v>
      </c>
      <c r="X113" s="66"/>
      <c r="Y113" s="21"/>
    </row>
    <row r="114" spans="1:25" ht="21.75" hidden="1" customHeight="1" outlineLevel="1" x14ac:dyDescent="0.2">
      <c r="A114" s="114"/>
      <c r="B114" s="7"/>
      <c r="C114" s="67"/>
      <c r="D114" s="144" t="s">
        <v>300</v>
      </c>
      <c r="E114" s="139"/>
      <c r="F114" s="139"/>
      <c r="G114" s="139"/>
      <c r="H114" s="41" t="s">
        <v>95</v>
      </c>
      <c r="I114" s="42" t="s">
        <v>92</v>
      </c>
      <c r="J114" s="42" t="s">
        <v>30</v>
      </c>
      <c r="K114" s="42" t="s">
        <v>16</v>
      </c>
      <c r="L114" s="43" t="s">
        <v>6</v>
      </c>
      <c r="M114" s="44" t="s">
        <v>95</v>
      </c>
      <c r="N114" s="6" t="s">
        <v>6</v>
      </c>
      <c r="O114" s="137"/>
      <c r="P114" s="137"/>
      <c r="Q114" s="137"/>
      <c r="R114" s="138"/>
      <c r="S114" s="109">
        <v>200</v>
      </c>
      <c r="T114" s="109"/>
      <c r="U114" s="109">
        <f t="shared" si="4"/>
        <v>200</v>
      </c>
      <c r="V114" s="109"/>
      <c r="W114" s="109">
        <f t="shared" si="5"/>
        <v>200</v>
      </c>
      <c r="X114" s="66"/>
      <c r="Y114" s="21"/>
    </row>
    <row r="115" spans="1:25" ht="21.75" hidden="1" customHeight="1" outlineLevel="1" x14ac:dyDescent="0.2">
      <c r="A115" s="114"/>
      <c r="B115" s="7"/>
      <c r="C115" s="67"/>
      <c r="D115" s="144" t="s">
        <v>301</v>
      </c>
      <c r="E115" s="139"/>
      <c r="F115" s="139"/>
      <c r="G115" s="139"/>
      <c r="H115" s="41" t="s">
        <v>94</v>
      </c>
      <c r="I115" s="42" t="s">
        <v>92</v>
      </c>
      <c r="J115" s="42" t="s">
        <v>30</v>
      </c>
      <c r="K115" s="42" t="s">
        <v>33</v>
      </c>
      <c r="L115" s="43" t="s">
        <v>6</v>
      </c>
      <c r="M115" s="44" t="s">
        <v>94</v>
      </c>
      <c r="N115" s="6" t="s">
        <v>6</v>
      </c>
      <c r="O115" s="137"/>
      <c r="P115" s="137"/>
      <c r="Q115" s="137"/>
      <c r="R115" s="138"/>
      <c r="S115" s="109">
        <v>100</v>
      </c>
      <c r="T115" s="109"/>
      <c r="U115" s="109">
        <f t="shared" si="4"/>
        <v>100</v>
      </c>
      <c r="V115" s="109"/>
      <c r="W115" s="109">
        <f t="shared" si="5"/>
        <v>100</v>
      </c>
      <c r="X115" s="66"/>
      <c r="Y115" s="21"/>
    </row>
    <row r="116" spans="1:25" ht="21.75" hidden="1" customHeight="1" outlineLevel="1" x14ac:dyDescent="0.2">
      <c r="A116" s="114"/>
      <c r="B116" s="7"/>
      <c r="C116" s="67"/>
      <c r="D116" s="144" t="s">
        <v>302</v>
      </c>
      <c r="E116" s="139"/>
      <c r="F116" s="139"/>
      <c r="G116" s="139"/>
      <c r="H116" s="41" t="s">
        <v>93</v>
      </c>
      <c r="I116" s="42" t="s">
        <v>92</v>
      </c>
      <c r="J116" s="42" t="s">
        <v>30</v>
      </c>
      <c r="K116" s="42" t="s">
        <v>14</v>
      </c>
      <c r="L116" s="43" t="s">
        <v>6</v>
      </c>
      <c r="M116" s="44" t="s">
        <v>93</v>
      </c>
      <c r="N116" s="6" t="s">
        <v>6</v>
      </c>
      <c r="O116" s="137"/>
      <c r="P116" s="137"/>
      <c r="Q116" s="137"/>
      <c r="R116" s="138"/>
      <c r="S116" s="109">
        <v>50</v>
      </c>
      <c r="T116" s="109"/>
      <c r="U116" s="109">
        <f t="shared" ref="U116:U140" si="6">SUM(S116:T116)</f>
        <v>50</v>
      </c>
      <c r="V116" s="109"/>
      <c r="W116" s="109">
        <f t="shared" ref="W116:W140" si="7">SUM(U116:V116)</f>
        <v>50</v>
      </c>
      <c r="X116" s="66"/>
      <c r="Y116" s="21"/>
    </row>
    <row r="117" spans="1:25" ht="21.75" customHeight="1" collapsed="1" x14ac:dyDescent="0.2">
      <c r="A117" s="114"/>
      <c r="B117" s="7"/>
      <c r="C117" s="136" t="s">
        <v>303</v>
      </c>
      <c r="D117" s="135"/>
      <c r="E117" s="135"/>
      <c r="F117" s="135"/>
      <c r="G117" s="135"/>
      <c r="H117" s="36" t="s">
        <v>91</v>
      </c>
      <c r="I117" s="37" t="s">
        <v>92</v>
      </c>
      <c r="J117" s="37" t="s">
        <v>24</v>
      </c>
      <c r="K117" s="37" t="s">
        <v>6</v>
      </c>
      <c r="L117" s="38" t="s">
        <v>6</v>
      </c>
      <c r="M117" s="39" t="s">
        <v>91</v>
      </c>
      <c r="N117" s="40" t="s">
        <v>6</v>
      </c>
      <c r="O117" s="132"/>
      <c r="P117" s="132"/>
      <c r="Q117" s="132"/>
      <c r="R117" s="133"/>
      <c r="S117" s="107">
        <f>S118</f>
        <v>150</v>
      </c>
      <c r="T117" s="107">
        <f>T118</f>
        <v>0</v>
      </c>
      <c r="U117" s="107">
        <f t="shared" si="6"/>
        <v>150</v>
      </c>
      <c r="V117" s="107">
        <f>V118</f>
        <v>0</v>
      </c>
      <c r="W117" s="107">
        <f t="shared" si="7"/>
        <v>150</v>
      </c>
      <c r="X117" s="65"/>
      <c r="Y117" s="21"/>
    </row>
    <row r="118" spans="1:25" ht="12.75" hidden="1" customHeight="1" outlineLevel="1" x14ac:dyDescent="0.2">
      <c r="A118" s="114"/>
      <c r="B118" s="7"/>
      <c r="C118" s="67"/>
      <c r="D118" s="144" t="s">
        <v>304</v>
      </c>
      <c r="E118" s="139"/>
      <c r="F118" s="139"/>
      <c r="G118" s="139"/>
      <c r="H118" s="41" t="s">
        <v>91</v>
      </c>
      <c r="I118" s="42" t="s">
        <v>92</v>
      </c>
      <c r="J118" s="42" t="s">
        <v>24</v>
      </c>
      <c r="K118" s="42" t="s">
        <v>19</v>
      </c>
      <c r="L118" s="43" t="s">
        <v>6</v>
      </c>
      <c r="M118" s="44" t="s">
        <v>91</v>
      </c>
      <c r="N118" s="6" t="s">
        <v>6</v>
      </c>
      <c r="O118" s="137"/>
      <c r="P118" s="137"/>
      <c r="Q118" s="137"/>
      <c r="R118" s="138"/>
      <c r="S118" s="109">
        <v>150</v>
      </c>
      <c r="T118" s="109"/>
      <c r="U118" s="109">
        <f t="shared" si="6"/>
        <v>150</v>
      </c>
      <c r="V118" s="109"/>
      <c r="W118" s="109">
        <f t="shared" si="7"/>
        <v>150</v>
      </c>
      <c r="X118" s="66"/>
      <c r="Y118" s="21"/>
    </row>
    <row r="119" spans="1:25" ht="25.5" customHeight="1" collapsed="1" x14ac:dyDescent="0.2">
      <c r="A119" s="114"/>
      <c r="B119" s="64"/>
      <c r="C119" s="147" t="s">
        <v>380</v>
      </c>
      <c r="D119" s="148"/>
      <c r="E119" s="148"/>
      <c r="F119" s="148"/>
      <c r="G119" s="149"/>
      <c r="H119" s="53" t="s">
        <v>90</v>
      </c>
      <c r="I119" s="54" t="s">
        <v>79</v>
      </c>
      <c r="J119" s="54" t="s">
        <v>6</v>
      </c>
      <c r="K119" s="54" t="s">
        <v>6</v>
      </c>
      <c r="L119" s="55" t="s">
        <v>6</v>
      </c>
      <c r="M119" s="56" t="s">
        <v>78</v>
      </c>
      <c r="N119" s="57" t="s">
        <v>6</v>
      </c>
      <c r="O119" s="142"/>
      <c r="P119" s="142"/>
      <c r="Q119" s="142"/>
      <c r="R119" s="143"/>
      <c r="S119" s="110">
        <f>S120+S125+S127</f>
        <v>1516.5</v>
      </c>
      <c r="T119" s="110">
        <f>T120+T125+T127</f>
        <v>0</v>
      </c>
      <c r="U119" s="110">
        <f t="shared" si="6"/>
        <v>1516.5</v>
      </c>
      <c r="V119" s="110">
        <f>V120+V125+V127</f>
        <v>0</v>
      </c>
      <c r="W119" s="110">
        <f t="shared" si="7"/>
        <v>1516.5</v>
      </c>
      <c r="X119" s="74"/>
      <c r="Y119" s="21"/>
    </row>
    <row r="120" spans="1:25" ht="52.5" customHeight="1" x14ac:dyDescent="0.2">
      <c r="A120" s="114"/>
      <c r="B120" s="7"/>
      <c r="C120" s="136" t="s">
        <v>305</v>
      </c>
      <c r="D120" s="135"/>
      <c r="E120" s="135"/>
      <c r="F120" s="135"/>
      <c r="G120" s="135"/>
      <c r="H120" s="36" t="s">
        <v>89</v>
      </c>
      <c r="I120" s="37" t="s">
        <v>79</v>
      </c>
      <c r="J120" s="37" t="s">
        <v>30</v>
      </c>
      <c r="K120" s="37" t="s">
        <v>6</v>
      </c>
      <c r="L120" s="38" t="s">
        <v>6</v>
      </c>
      <c r="M120" s="39" t="s">
        <v>84</v>
      </c>
      <c r="N120" s="40" t="s">
        <v>6</v>
      </c>
      <c r="O120" s="132"/>
      <c r="P120" s="132"/>
      <c r="Q120" s="132"/>
      <c r="R120" s="133"/>
      <c r="S120" s="107">
        <f>S121+S122+S123+S124</f>
        <v>466.5</v>
      </c>
      <c r="T120" s="107">
        <f>T121+T122+T123+T124</f>
        <v>0</v>
      </c>
      <c r="U120" s="107">
        <f t="shared" si="6"/>
        <v>466.5</v>
      </c>
      <c r="V120" s="107">
        <f>V121+V122+V123+V124</f>
        <v>0</v>
      </c>
      <c r="W120" s="107">
        <f t="shared" si="7"/>
        <v>466.5</v>
      </c>
      <c r="X120" s="65"/>
      <c r="Y120" s="21"/>
    </row>
    <row r="121" spans="1:25" ht="21.75" hidden="1" customHeight="1" outlineLevel="1" x14ac:dyDescent="0.2">
      <c r="A121" s="114"/>
      <c r="B121" s="7"/>
      <c r="C121" s="67"/>
      <c r="D121" s="144" t="s">
        <v>306</v>
      </c>
      <c r="E121" s="139"/>
      <c r="F121" s="139"/>
      <c r="G121" s="139"/>
      <c r="H121" s="41" t="s">
        <v>88</v>
      </c>
      <c r="I121" s="42" t="s">
        <v>79</v>
      </c>
      <c r="J121" s="42" t="s">
        <v>30</v>
      </c>
      <c r="K121" s="42" t="s">
        <v>19</v>
      </c>
      <c r="L121" s="43" t="s">
        <v>6</v>
      </c>
      <c r="M121" s="44" t="s">
        <v>88</v>
      </c>
      <c r="N121" s="6" t="s">
        <v>6</v>
      </c>
      <c r="O121" s="137"/>
      <c r="P121" s="137"/>
      <c r="Q121" s="137"/>
      <c r="R121" s="138"/>
      <c r="S121" s="109">
        <v>150</v>
      </c>
      <c r="T121" s="109"/>
      <c r="U121" s="109">
        <f t="shared" si="6"/>
        <v>150</v>
      </c>
      <c r="V121" s="109"/>
      <c r="W121" s="109">
        <f t="shared" si="7"/>
        <v>150</v>
      </c>
      <c r="X121" s="66"/>
      <c r="Y121" s="21"/>
    </row>
    <row r="122" spans="1:25" ht="32.25" hidden="1" customHeight="1" outlineLevel="1" x14ac:dyDescent="0.2">
      <c r="A122" s="114"/>
      <c r="B122" s="7"/>
      <c r="C122" s="67"/>
      <c r="D122" s="144" t="s">
        <v>307</v>
      </c>
      <c r="E122" s="139"/>
      <c r="F122" s="139"/>
      <c r="G122" s="139"/>
      <c r="H122" s="41" t="s">
        <v>87</v>
      </c>
      <c r="I122" s="42" t="s">
        <v>79</v>
      </c>
      <c r="J122" s="42" t="s">
        <v>30</v>
      </c>
      <c r="K122" s="42" t="s">
        <v>16</v>
      </c>
      <c r="L122" s="43" t="s">
        <v>6</v>
      </c>
      <c r="M122" s="44" t="s">
        <v>87</v>
      </c>
      <c r="N122" s="6" t="s">
        <v>6</v>
      </c>
      <c r="O122" s="137"/>
      <c r="P122" s="137"/>
      <c r="Q122" s="137"/>
      <c r="R122" s="138"/>
      <c r="S122" s="109">
        <v>100</v>
      </c>
      <c r="T122" s="109"/>
      <c r="U122" s="109">
        <f t="shared" si="6"/>
        <v>100</v>
      </c>
      <c r="V122" s="109"/>
      <c r="W122" s="109">
        <f t="shared" si="7"/>
        <v>100</v>
      </c>
      <c r="X122" s="66"/>
      <c r="Y122" s="21"/>
    </row>
    <row r="123" spans="1:25" ht="32.25" hidden="1" customHeight="1" outlineLevel="1" x14ac:dyDescent="0.2">
      <c r="A123" s="114"/>
      <c r="B123" s="7"/>
      <c r="C123" s="67"/>
      <c r="D123" s="144" t="s">
        <v>308</v>
      </c>
      <c r="E123" s="139"/>
      <c r="F123" s="139"/>
      <c r="G123" s="139"/>
      <c r="H123" s="41" t="s">
        <v>86</v>
      </c>
      <c r="I123" s="42" t="s">
        <v>79</v>
      </c>
      <c r="J123" s="42" t="s">
        <v>30</v>
      </c>
      <c r="K123" s="42" t="s">
        <v>33</v>
      </c>
      <c r="L123" s="43" t="s">
        <v>6</v>
      </c>
      <c r="M123" s="44" t="s">
        <v>86</v>
      </c>
      <c r="N123" s="6" t="s">
        <v>6</v>
      </c>
      <c r="O123" s="137"/>
      <c r="P123" s="137"/>
      <c r="Q123" s="137"/>
      <c r="R123" s="138"/>
      <c r="S123" s="109">
        <v>50</v>
      </c>
      <c r="T123" s="109"/>
      <c r="U123" s="109">
        <f t="shared" si="6"/>
        <v>50</v>
      </c>
      <c r="V123" s="109"/>
      <c r="W123" s="109">
        <f t="shared" si="7"/>
        <v>50</v>
      </c>
      <c r="X123" s="66"/>
      <c r="Y123" s="21"/>
    </row>
    <row r="124" spans="1:25" ht="32.25" hidden="1" customHeight="1" outlineLevel="1" x14ac:dyDescent="0.2">
      <c r="A124" s="114"/>
      <c r="B124" s="7"/>
      <c r="C124" s="67"/>
      <c r="D124" s="144" t="s">
        <v>309</v>
      </c>
      <c r="E124" s="139"/>
      <c r="F124" s="139"/>
      <c r="G124" s="139"/>
      <c r="H124" s="41" t="s">
        <v>85</v>
      </c>
      <c r="I124" s="42" t="s">
        <v>79</v>
      </c>
      <c r="J124" s="42" t="s">
        <v>30</v>
      </c>
      <c r="K124" s="42" t="s">
        <v>11</v>
      </c>
      <c r="L124" s="43" t="s">
        <v>6</v>
      </c>
      <c r="M124" s="44" t="s">
        <v>84</v>
      </c>
      <c r="N124" s="6" t="s">
        <v>6</v>
      </c>
      <c r="O124" s="137"/>
      <c r="P124" s="137"/>
      <c r="Q124" s="137"/>
      <c r="R124" s="138"/>
      <c r="S124" s="109">
        <v>166.5</v>
      </c>
      <c r="T124" s="109"/>
      <c r="U124" s="109">
        <f t="shared" si="6"/>
        <v>166.5</v>
      </c>
      <c r="V124" s="109"/>
      <c r="W124" s="109">
        <f t="shared" si="7"/>
        <v>166.5</v>
      </c>
      <c r="X124" s="66"/>
      <c r="Y124" s="21"/>
    </row>
    <row r="125" spans="1:25" ht="21.75" customHeight="1" collapsed="1" x14ac:dyDescent="0.2">
      <c r="A125" s="114"/>
      <c r="B125" s="7"/>
      <c r="C125" s="136" t="s">
        <v>310</v>
      </c>
      <c r="D125" s="135"/>
      <c r="E125" s="135"/>
      <c r="F125" s="135"/>
      <c r="G125" s="135"/>
      <c r="H125" s="36" t="s">
        <v>83</v>
      </c>
      <c r="I125" s="37" t="s">
        <v>79</v>
      </c>
      <c r="J125" s="37" t="s">
        <v>24</v>
      </c>
      <c r="K125" s="37" t="s">
        <v>6</v>
      </c>
      <c r="L125" s="38" t="s">
        <v>6</v>
      </c>
      <c r="M125" s="39" t="s">
        <v>82</v>
      </c>
      <c r="N125" s="40" t="s">
        <v>6</v>
      </c>
      <c r="O125" s="132"/>
      <c r="P125" s="132"/>
      <c r="Q125" s="132"/>
      <c r="R125" s="133"/>
      <c r="S125" s="107">
        <f>S126</f>
        <v>100</v>
      </c>
      <c r="T125" s="107">
        <f>T126</f>
        <v>0</v>
      </c>
      <c r="U125" s="107">
        <f t="shared" si="6"/>
        <v>100</v>
      </c>
      <c r="V125" s="107">
        <f>V126</f>
        <v>0</v>
      </c>
      <c r="W125" s="107">
        <f t="shared" si="7"/>
        <v>100</v>
      </c>
      <c r="X125" s="65"/>
      <c r="Y125" s="21"/>
    </row>
    <row r="126" spans="1:25" ht="21.75" hidden="1" customHeight="1" outlineLevel="1" x14ac:dyDescent="0.2">
      <c r="A126" s="114"/>
      <c r="B126" s="7"/>
      <c r="C126" s="67"/>
      <c r="D126" s="144" t="s">
        <v>311</v>
      </c>
      <c r="E126" s="139"/>
      <c r="F126" s="139"/>
      <c r="G126" s="139"/>
      <c r="H126" s="41" t="s">
        <v>83</v>
      </c>
      <c r="I126" s="42" t="s">
        <v>79</v>
      </c>
      <c r="J126" s="42" t="s">
        <v>24</v>
      </c>
      <c r="K126" s="42" t="s">
        <v>19</v>
      </c>
      <c r="L126" s="43" t="s">
        <v>6</v>
      </c>
      <c r="M126" s="44" t="s">
        <v>82</v>
      </c>
      <c r="N126" s="6" t="s">
        <v>6</v>
      </c>
      <c r="O126" s="137"/>
      <c r="P126" s="137"/>
      <c r="Q126" s="137"/>
      <c r="R126" s="138"/>
      <c r="S126" s="109">
        <v>100</v>
      </c>
      <c r="T126" s="109"/>
      <c r="U126" s="109">
        <f t="shared" si="6"/>
        <v>100</v>
      </c>
      <c r="V126" s="109"/>
      <c r="W126" s="109">
        <f t="shared" si="7"/>
        <v>100</v>
      </c>
      <c r="X126" s="66"/>
      <c r="Y126" s="21"/>
    </row>
    <row r="127" spans="1:25" ht="21.75" customHeight="1" collapsed="1" x14ac:dyDescent="0.2">
      <c r="A127" s="114"/>
      <c r="B127" s="7"/>
      <c r="C127" s="136" t="s">
        <v>312</v>
      </c>
      <c r="D127" s="135"/>
      <c r="E127" s="135"/>
      <c r="F127" s="135"/>
      <c r="G127" s="135"/>
      <c r="H127" s="36" t="s">
        <v>81</v>
      </c>
      <c r="I127" s="37" t="s">
        <v>79</v>
      </c>
      <c r="J127" s="37" t="s">
        <v>34</v>
      </c>
      <c r="K127" s="37" t="s">
        <v>6</v>
      </c>
      <c r="L127" s="38" t="s">
        <v>6</v>
      </c>
      <c r="M127" s="39" t="s">
        <v>78</v>
      </c>
      <c r="N127" s="40" t="s">
        <v>6</v>
      </c>
      <c r="O127" s="132"/>
      <c r="P127" s="132"/>
      <c r="Q127" s="132"/>
      <c r="R127" s="133"/>
      <c r="S127" s="107">
        <f>S128+S129</f>
        <v>950</v>
      </c>
      <c r="T127" s="107">
        <f>T128+T129</f>
        <v>0</v>
      </c>
      <c r="U127" s="107">
        <f t="shared" si="6"/>
        <v>950</v>
      </c>
      <c r="V127" s="107">
        <f>V128+V129</f>
        <v>0</v>
      </c>
      <c r="W127" s="107">
        <f t="shared" si="7"/>
        <v>950</v>
      </c>
      <c r="X127" s="65"/>
      <c r="Y127" s="21"/>
    </row>
    <row r="128" spans="1:25" ht="21" hidden="1" customHeight="1" outlineLevel="1" x14ac:dyDescent="0.2">
      <c r="A128" s="114"/>
      <c r="B128" s="7"/>
      <c r="C128" s="67"/>
      <c r="D128" s="144" t="s">
        <v>313</v>
      </c>
      <c r="E128" s="139"/>
      <c r="F128" s="139"/>
      <c r="G128" s="139"/>
      <c r="H128" s="41" t="s">
        <v>80</v>
      </c>
      <c r="I128" s="42" t="s">
        <v>79</v>
      </c>
      <c r="J128" s="42" t="s">
        <v>34</v>
      </c>
      <c r="K128" s="42" t="s">
        <v>19</v>
      </c>
      <c r="L128" s="43" t="s">
        <v>6</v>
      </c>
      <c r="M128" s="44" t="s">
        <v>80</v>
      </c>
      <c r="N128" s="6" t="s">
        <v>6</v>
      </c>
      <c r="O128" s="137"/>
      <c r="P128" s="137"/>
      <c r="Q128" s="137"/>
      <c r="R128" s="138"/>
      <c r="S128" s="109">
        <v>100</v>
      </c>
      <c r="T128" s="109"/>
      <c r="U128" s="109">
        <f t="shared" si="6"/>
        <v>100</v>
      </c>
      <c r="V128" s="109"/>
      <c r="W128" s="109">
        <f t="shared" si="7"/>
        <v>100</v>
      </c>
      <c r="X128" s="66"/>
      <c r="Y128" s="21"/>
    </row>
    <row r="129" spans="1:25" ht="21.75" hidden="1" customHeight="1" outlineLevel="1" x14ac:dyDescent="0.2">
      <c r="A129" s="114"/>
      <c r="B129" s="7"/>
      <c r="C129" s="67"/>
      <c r="D129" s="144" t="s">
        <v>314</v>
      </c>
      <c r="E129" s="139"/>
      <c r="F129" s="139"/>
      <c r="G129" s="139"/>
      <c r="H129" s="41" t="s">
        <v>78</v>
      </c>
      <c r="I129" s="42" t="s">
        <v>79</v>
      </c>
      <c r="J129" s="42" t="s">
        <v>34</v>
      </c>
      <c r="K129" s="42" t="s">
        <v>16</v>
      </c>
      <c r="L129" s="43" t="s">
        <v>6</v>
      </c>
      <c r="M129" s="44" t="s">
        <v>78</v>
      </c>
      <c r="N129" s="6" t="s">
        <v>6</v>
      </c>
      <c r="O129" s="137"/>
      <c r="P129" s="137"/>
      <c r="Q129" s="137"/>
      <c r="R129" s="138"/>
      <c r="S129" s="109">
        <v>850</v>
      </c>
      <c r="T129" s="109"/>
      <c r="U129" s="109">
        <f t="shared" si="6"/>
        <v>850</v>
      </c>
      <c r="V129" s="109"/>
      <c r="W129" s="109">
        <f t="shared" si="7"/>
        <v>850</v>
      </c>
      <c r="X129" s="66"/>
      <c r="Y129" s="21"/>
    </row>
    <row r="130" spans="1:25" ht="33.75" customHeight="1" collapsed="1" x14ac:dyDescent="0.2">
      <c r="A130" s="114"/>
      <c r="B130" s="64"/>
      <c r="C130" s="147" t="s">
        <v>381</v>
      </c>
      <c r="D130" s="148"/>
      <c r="E130" s="148"/>
      <c r="F130" s="148"/>
      <c r="G130" s="149"/>
      <c r="H130" s="58" t="s">
        <v>77</v>
      </c>
      <c r="I130" s="54" t="s">
        <v>53</v>
      </c>
      <c r="J130" s="59" t="s">
        <v>6</v>
      </c>
      <c r="K130" s="59" t="s">
        <v>6</v>
      </c>
      <c r="L130" s="60" t="s">
        <v>6</v>
      </c>
      <c r="M130" s="61" t="s">
        <v>51</v>
      </c>
      <c r="N130" s="62" t="s">
        <v>6</v>
      </c>
      <c r="O130" s="151"/>
      <c r="P130" s="151"/>
      <c r="Q130" s="151"/>
      <c r="R130" s="152"/>
      <c r="S130" s="63">
        <f>S131+S141+S146+S150</f>
        <v>2413387.3000000003</v>
      </c>
      <c r="T130" s="63">
        <f>T131+T141+T146+T150</f>
        <v>22189.5</v>
      </c>
      <c r="U130" s="63">
        <f t="shared" si="6"/>
        <v>2435576.8000000003</v>
      </c>
      <c r="V130" s="63">
        <f>V131+V141+V146+V150</f>
        <v>51772.700000000012</v>
      </c>
      <c r="W130" s="105">
        <f t="shared" si="7"/>
        <v>2487349.5000000005</v>
      </c>
      <c r="X130" s="74"/>
      <c r="Y130" s="21"/>
    </row>
    <row r="131" spans="1:25" ht="130.5" customHeight="1" x14ac:dyDescent="0.2">
      <c r="A131" s="114"/>
      <c r="B131" s="7"/>
      <c r="C131" s="182" t="s">
        <v>479</v>
      </c>
      <c r="D131" s="183"/>
      <c r="E131" s="183"/>
      <c r="F131" s="183"/>
      <c r="G131" s="184"/>
      <c r="H131" s="124" t="s">
        <v>76</v>
      </c>
      <c r="I131" s="140">
        <v>20</v>
      </c>
      <c r="J131" s="140" t="s">
        <v>30</v>
      </c>
      <c r="K131" s="140" t="s">
        <v>6</v>
      </c>
      <c r="L131" s="125" t="s">
        <v>6</v>
      </c>
      <c r="M131" s="126" t="s">
        <v>65</v>
      </c>
      <c r="N131" s="127" t="s">
        <v>6</v>
      </c>
      <c r="O131" s="162"/>
      <c r="P131" s="162"/>
      <c r="Q131" s="162"/>
      <c r="R131" s="163"/>
      <c r="S131" s="128">
        <f>S134+S135+S136+S137+S138+S139+S140</f>
        <v>2275789.2000000002</v>
      </c>
      <c r="T131" s="128">
        <f>T134+T135+T136+T137+T138+T139+T140</f>
        <v>5621.9000000000005</v>
      </c>
      <c r="U131" s="191">
        <f t="shared" si="6"/>
        <v>2281411.1</v>
      </c>
      <c r="V131" s="191">
        <f>V134+V135+V136+V137+V138+V139+V140</f>
        <v>67186.600000000006</v>
      </c>
      <c r="W131" s="191">
        <f t="shared" si="7"/>
        <v>2348597.7000000002</v>
      </c>
      <c r="X131" s="179" t="s">
        <v>492</v>
      </c>
      <c r="Y131" s="21"/>
    </row>
    <row r="132" spans="1:25" ht="409.5" customHeight="1" x14ac:dyDescent="0.2">
      <c r="A132" s="114"/>
      <c r="B132" s="7"/>
      <c r="C132" s="185"/>
      <c r="D132" s="186"/>
      <c r="E132" s="186"/>
      <c r="F132" s="186"/>
      <c r="G132" s="187"/>
      <c r="H132" s="124"/>
      <c r="I132" s="219"/>
      <c r="J132" s="219"/>
      <c r="K132" s="219"/>
      <c r="L132" s="125"/>
      <c r="M132" s="126"/>
      <c r="N132" s="127"/>
      <c r="O132" s="129"/>
      <c r="P132" s="129"/>
      <c r="Q132" s="129"/>
      <c r="R132" s="128"/>
      <c r="S132" s="128"/>
      <c r="T132" s="128"/>
      <c r="U132" s="192"/>
      <c r="V132" s="192"/>
      <c r="W132" s="192"/>
      <c r="X132" s="180"/>
      <c r="Y132" s="21"/>
    </row>
    <row r="133" spans="1:25" ht="409.5" customHeight="1" x14ac:dyDescent="0.2">
      <c r="A133" s="114"/>
      <c r="B133" s="7"/>
      <c r="C133" s="188"/>
      <c r="D133" s="189"/>
      <c r="E133" s="189"/>
      <c r="F133" s="189"/>
      <c r="G133" s="190"/>
      <c r="H133" s="124"/>
      <c r="I133" s="141"/>
      <c r="J133" s="141"/>
      <c r="K133" s="141"/>
      <c r="L133" s="125"/>
      <c r="M133" s="126"/>
      <c r="N133" s="127"/>
      <c r="O133" s="130"/>
      <c r="P133" s="130"/>
      <c r="Q133" s="130"/>
      <c r="R133" s="131"/>
      <c r="S133" s="131"/>
      <c r="T133" s="131"/>
      <c r="U133" s="193"/>
      <c r="V133" s="193"/>
      <c r="W133" s="193"/>
      <c r="X133" s="181"/>
      <c r="Y133" s="21"/>
    </row>
    <row r="134" spans="1:25" ht="44.25" hidden="1" customHeight="1" outlineLevel="1" x14ac:dyDescent="0.2">
      <c r="A134" s="114"/>
      <c r="B134" s="7"/>
      <c r="C134" s="67"/>
      <c r="D134" s="144" t="s">
        <v>315</v>
      </c>
      <c r="E134" s="139"/>
      <c r="F134" s="139"/>
      <c r="G134" s="139"/>
      <c r="H134" s="41" t="s">
        <v>75</v>
      </c>
      <c r="I134" s="42" t="s">
        <v>53</v>
      </c>
      <c r="J134" s="42" t="s">
        <v>30</v>
      </c>
      <c r="K134" s="42" t="s">
        <v>19</v>
      </c>
      <c r="L134" s="43" t="s">
        <v>6</v>
      </c>
      <c r="M134" s="44" t="s">
        <v>74</v>
      </c>
      <c r="N134" s="6" t="s">
        <v>6</v>
      </c>
      <c r="O134" s="137"/>
      <c r="P134" s="137"/>
      <c r="Q134" s="137"/>
      <c r="R134" s="138"/>
      <c r="S134" s="109">
        <v>31553.3</v>
      </c>
      <c r="T134" s="109"/>
      <c r="U134" s="109">
        <f t="shared" si="6"/>
        <v>31553.3</v>
      </c>
      <c r="V134" s="109">
        <v>1225.0999999999999</v>
      </c>
      <c r="W134" s="109">
        <f t="shared" si="7"/>
        <v>32778.400000000001</v>
      </c>
      <c r="X134" s="66" t="s">
        <v>414</v>
      </c>
      <c r="Y134" s="21"/>
    </row>
    <row r="135" spans="1:25" ht="409.5" hidden="1" customHeight="1" outlineLevel="1" x14ac:dyDescent="0.2">
      <c r="A135" s="114"/>
      <c r="B135" s="7"/>
      <c r="C135" s="67"/>
      <c r="D135" s="144" t="s">
        <v>316</v>
      </c>
      <c r="E135" s="139"/>
      <c r="F135" s="139"/>
      <c r="G135" s="139"/>
      <c r="H135" s="41" t="s">
        <v>73</v>
      </c>
      <c r="I135" s="42" t="s">
        <v>53</v>
      </c>
      <c r="J135" s="42" t="s">
        <v>30</v>
      </c>
      <c r="K135" s="42" t="s">
        <v>16</v>
      </c>
      <c r="L135" s="43" t="s">
        <v>6</v>
      </c>
      <c r="M135" s="44" t="s">
        <v>72</v>
      </c>
      <c r="N135" s="6" t="s">
        <v>6</v>
      </c>
      <c r="O135" s="137"/>
      <c r="P135" s="137"/>
      <c r="Q135" s="137"/>
      <c r="R135" s="138"/>
      <c r="S135" s="109">
        <v>2066511.8</v>
      </c>
      <c r="T135" s="70">
        <f>3721.4-1200</f>
        <v>2521.4</v>
      </c>
      <c r="U135" s="70">
        <f t="shared" si="6"/>
        <v>2069033.2</v>
      </c>
      <c r="V135" s="109">
        <f>15519.8+28530.5+743.6+692+1365+360.1+5319.3-737.5+9796.3+2885.1+265.2+570.2-478.8-181.7</f>
        <v>64649.1</v>
      </c>
      <c r="W135" s="70">
        <f t="shared" si="7"/>
        <v>2133682.2999999998</v>
      </c>
      <c r="X135" s="77" t="s">
        <v>489</v>
      </c>
      <c r="Y135" s="21"/>
    </row>
    <row r="136" spans="1:25" ht="57" hidden="1" customHeight="1" outlineLevel="1" x14ac:dyDescent="0.2">
      <c r="A136" s="114"/>
      <c r="B136" s="7"/>
      <c r="C136" s="67"/>
      <c r="D136" s="144" t="s">
        <v>317</v>
      </c>
      <c r="E136" s="139"/>
      <c r="F136" s="139"/>
      <c r="G136" s="139"/>
      <c r="H136" s="41" t="s">
        <v>71</v>
      </c>
      <c r="I136" s="42" t="s">
        <v>53</v>
      </c>
      <c r="J136" s="42" t="s">
        <v>30</v>
      </c>
      <c r="K136" s="42" t="s">
        <v>33</v>
      </c>
      <c r="L136" s="43" t="s">
        <v>6</v>
      </c>
      <c r="M136" s="44" t="s">
        <v>71</v>
      </c>
      <c r="N136" s="6" t="s">
        <v>6</v>
      </c>
      <c r="O136" s="137"/>
      <c r="P136" s="137"/>
      <c r="Q136" s="137"/>
      <c r="R136" s="138"/>
      <c r="S136" s="109">
        <v>51784</v>
      </c>
      <c r="T136" s="109"/>
      <c r="U136" s="109">
        <f t="shared" si="6"/>
        <v>51784</v>
      </c>
      <c r="V136" s="109">
        <f>-8260-7000-6000</f>
        <v>-21260</v>
      </c>
      <c r="W136" s="109">
        <f t="shared" si="7"/>
        <v>30524</v>
      </c>
      <c r="X136" s="66" t="s">
        <v>372</v>
      </c>
      <c r="Y136" s="21"/>
    </row>
    <row r="137" spans="1:25" ht="121.5" hidden="1" customHeight="1" outlineLevel="1" x14ac:dyDescent="0.2">
      <c r="A137" s="114"/>
      <c r="B137" s="7"/>
      <c r="C137" s="67"/>
      <c r="D137" s="144" t="s">
        <v>318</v>
      </c>
      <c r="E137" s="139"/>
      <c r="F137" s="139"/>
      <c r="G137" s="139"/>
      <c r="H137" s="41" t="s">
        <v>70</v>
      </c>
      <c r="I137" s="42" t="s">
        <v>53</v>
      </c>
      <c r="J137" s="42" t="s">
        <v>30</v>
      </c>
      <c r="K137" s="42" t="s">
        <v>14</v>
      </c>
      <c r="L137" s="43" t="s">
        <v>6</v>
      </c>
      <c r="M137" s="44" t="s">
        <v>69</v>
      </c>
      <c r="N137" s="6" t="s">
        <v>6</v>
      </c>
      <c r="O137" s="137"/>
      <c r="P137" s="137"/>
      <c r="Q137" s="137"/>
      <c r="R137" s="138"/>
      <c r="S137" s="109">
        <v>14259.6</v>
      </c>
      <c r="T137" s="109"/>
      <c r="U137" s="109">
        <f t="shared" si="6"/>
        <v>14259.6</v>
      </c>
      <c r="V137" s="109">
        <f>2000</f>
        <v>2000</v>
      </c>
      <c r="W137" s="109">
        <f t="shared" si="7"/>
        <v>16259.6</v>
      </c>
      <c r="X137" s="66" t="s">
        <v>373</v>
      </c>
      <c r="Y137" s="21"/>
    </row>
    <row r="138" spans="1:25" ht="120" hidden="1" customHeight="1" outlineLevel="1" x14ac:dyDescent="0.2">
      <c r="A138" s="114"/>
      <c r="B138" s="7"/>
      <c r="C138" s="67"/>
      <c r="D138" s="144" t="s">
        <v>319</v>
      </c>
      <c r="E138" s="139"/>
      <c r="F138" s="139"/>
      <c r="G138" s="139"/>
      <c r="H138" s="41" t="s">
        <v>68</v>
      </c>
      <c r="I138" s="42" t="s">
        <v>53</v>
      </c>
      <c r="J138" s="42" t="s">
        <v>30</v>
      </c>
      <c r="K138" s="42" t="s">
        <v>11</v>
      </c>
      <c r="L138" s="43" t="s">
        <v>6</v>
      </c>
      <c r="M138" s="44" t="s">
        <v>68</v>
      </c>
      <c r="N138" s="6" t="s">
        <v>6</v>
      </c>
      <c r="O138" s="137"/>
      <c r="P138" s="137"/>
      <c r="Q138" s="137"/>
      <c r="R138" s="138"/>
      <c r="S138" s="109">
        <v>2500</v>
      </c>
      <c r="T138" s="109">
        <f>574.2+332.5</f>
        <v>906.7</v>
      </c>
      <c r="U138" s="109">
        <f t="shared" si="6"/>
        <v>3406.7</v>
      </c>
      <c r="V138" s="109">
        <f>950+350+200</f>
        <v>1500</v>
      </c>
      <c r="W138" s="109">
        <f t="shared" si="7"/>
        <v>4906.7</v>
      </c>
      <c r="X138" s="66" t="s">
        <v>490</v>
      </c>
      <c r="Y138" s="21"/>
    </row>
    <row r="139" spans="1:25" ht="21.75" hidden="1" customHeight="1" outlineLevel="1" x14ac:dyDescent="0.2">
      <c r="A139" s="114"/>
      <c r="B139" s="7"/>
      <c r="C139" s="67"/>
      <c r="D139" s="144" t="s">
        <v>320</v>
      </c>
      <c r="E139" s="139"/>
      <c r="F139" s="139"/>
      <c r="G139" s="139"/>
      <c r="H139" s="41" t="s">
        <v>67</v>
      </c>
      <c r="I139" s="42" t="s">
        <v>53</v>
      </c>
      <c r="J139" s="42" t="s">
        <v>30</v>
      </c>
      <c r="K139" s="42" t="s">
        <v>8</v>
      </c>
      <c r="L139" s="43" t="s">
        <v>6</v>
      </c>
      <c r="M139" s="44" t="s">
        <v>67</v>
      </c>
      <c r="N139" s="6" t="s">
        <v>6</v>
      </c>
      <c r="O139" s="137"/>
      <c r="P139" s="137"/>
      <c r="Q139" s="137"/>
      <c r="R139" s="138"/>
      <c r="S139" s="109">
        <v>13456.4</v>
      </c>
      <c r="T139" s="109"/>
      <c r="U139" s="109">
        <f t="shared" si="6"/>
        <v>13456.4</v>
      </c>
      <c r="V139" s="109"/>
      <c r="W139" s="109">
        <f t="shared" si="7"/>
        <v>13456.4</v>
      </c>
      <c r="X139" s="66"/>
      <c r="Y139" s="21"/>
    </row>
    <row r="140" spans="1:25" ht="294" hidden="1" customHeight="1" outlineLevel="1" x14ac:dyDescent="0.2">
      <c r="A140" s="114"/>
      <c r="B140" s="7"/>
      <c r="C140" s="67"/>
      <c r="D140" s="144" t="s">
        <v>321</v>
      </c>
      <c r="E140" s="139"/>
      <c r="F140" s="139"/>
      <c r="G140" s="139"/>
      <c r="H140" s="41" t="s">
        <v>66</v>
      </c>
      <c r="I140" s="42" t="s">
        <v>53</v>
      </c>
      <c r="J140" s="42" t="s">
        <v>30</v>
      </c>
      <c r="K140" s="42" t="s">
        <v>3</v>
      </c>
      <c r="L140" s="43" t="s">
        <v>6</v>
      </c>
      <c r="M140" s="44" t="s">
        <v>65</v>
      </c>
      <c r="N140" s="6" t="s">
        <v>6</v>
      </c>
      <c r="O140" s="137"/>
      <c r="P140" s="137"/>
      <c r="Q140" s="137"/>
      <c r="R140" s="138"/>
      <c r="S140" s="109">
        <v>95724.1</v>
      </c>
      <c r="T140" s="109">
        <f>993.8+1200</f>
        <v>2193.8000000000002</v>
      </c>
      <c r="U140" s="109">
        <f t="shared" si="6"/>
        <v>97917.900000000009</v>
      </c>
      <c r="V140" s="109">
        <f>11047.5+2820.8+2820.7+7305-4056.3-865.2-0.1</f>
        <v>19072.400000000001</v>
      </c>
      <c r="W140" s="109">
        <f t="shared" si="7"/>
        <v>116990.30000000002</v>
      </c>
      <c r="X140" s="66" t="s">
        <v>473</v>
      </c>
      <c r="Y140" s="21" t="s">
        <v>374</v>
      </c>
    </row>
    <row r="141" spans="1:25" ht="224.25" customHeight="1" collapsed="1" x14ac:dyDescent="0.2">
      <c r="A141" s="114"/>
      <c r="B141" s="7"/>
      <c r="C141" s="134" t="s">
        <v>382</v>
      </c>
      <c r="D141" s="135"/>
      <c r="E141" s="135"/>
      <c r="F141" s="135"/>
      <c r="G141" s="135"/>
      <c r="H141" s="36" t="s">
        <v>64</v>
      </c>
      <c r="I141" s="37" t="s">
        <v>53</v>
      </c>
      <c r="J141" s="37" t="s">
        <v>24</v>
      </c>
      <c r="K141" s="37" t="s">
        <v>6</v>
      </c>
      <c r="L141" s="38" t="s">
        <v>6</v>
      </c>
      <c r="M141" s="39" t="s">
        <v>59</v>
      </c>
      <c r="N141" s="40" t="s">
        <v>6</v>
      </c>
      <c r="O141" s="132"/>
      <c r="P141" s="132"/>
      <c r="Q141" s="132"/>
      <c r="R141" s="133"/>
      <c r="S141" s="107">
        <f>S142+S143+S145</f>
        <v>15696.5</v>
      </c>
      <c r="T141" s="107">
        <f>T142+T143++T144+T145</f>
        <v>1529.6</v>
      </c>
      <c r="U141" s="107">
        <f>U142+U143++U144+U145</f>
        <v>17226.099999999999</v>
      </c>
      <c r="V141" s="107">
        <f>V142+V143++V144+V145</f>
        <v>8501.1</v>
      </c>
      <c r="W141" s="107">
        <f>W142+W143++W144+W145</f>
        <v>25727.200000000001</v>
      </c>
      <c r="X141" s="65" t="s">
        <v>472</v>
      </c>
      <c r="Y141" s="21"/>
    </row>
    <row r="142" spans="1:25" ht="180" hidden="1" customHeight="1" outlineLevel="1" x14ac:dyDescent="0.2">
      <c r="A142" s="114"/>
      <c r="B142" s="7"/>
      <c r="C142" s="67"/>
      <c r="D142" s="144" t="s">
        <v>322</v>
      </c>
      <c r="E142" s="139"/>
      <c r="F142" s="139"/>
      <c r="G142" s="139"/>
      <c r="H142" s="41" t="s">
        <v>63</v>
      </c>
      <c r="I142" s="42" t="s">
        <v>53</v>
      </c>
      <c r="J142" s="42" t="s">
        <v>24</v>
      </c>
      <c r="K142" s="42" t="s">
        <v>19</v>
      </c>
      <c r="L142" s="43" t="s">
        <v>6</v>
      </c>
      <c r="M142" s="44" t="s">
        <v>63</v>
      </c>
      <c r="N142" s="6" t="s">
        <v>6</v>
      </c>
      <c r="O142" s="137"/>
      <c r="P142" s="137"/>
      <c r="Q142" s="137"/>
      <c r="R142" s="138"/>
      <c r="S142" s="109">
        <v>15376.5</v>
      </c>
      <c r="T142" s="109">
        <v>405.1</v>
      </c>
      <c r="U142" s="109">
        <f t="shared" ref="U142:U161" si="8">SUM(S142:T142)</f>
        <v>15781.6</v>
      </c>
      <c r="V142" s="109">
        <f>-1597.7+508.5+4000-4529.8</f>
        <v>-1619</v>
      </c>
      <c r="W142" s="109">
        <f t="shared" ref="W142:W163" si="9">SUM(U142:V142)</f>
        <v>14162.6</v>
      </c>
      <c r="X142" s="66" t="s">
        <v>443</v>
      </c>
      <c r="Y142" s="21"/>
    </row>
    <row r="143" spans="1:25" ht="32.25" hidden="1" customHeight="1" outlineLevel="1" x14ac:dyDescent="0.2">
      <c r="A143" s="114"/>
      <c r="B143" s="7"/>
      <c r="C143" s="67"/>
      <c r="D143" s="144" t="s">
        <v>323</v>
      </c>
      <c r="E143" s="139"/>
      <c r="F143" s="139"/>
      <c r="G143" s="139"/>
      <c r="H143" s="41" t="s">
        <v>62</v>
      </c>
      <c r="I143" s="42" t="s">
        <v>53</v>
      </c>
      <c r="J143" s="42" t="s">
        <v>24</v>
      </c>
      <c r="K143" s="42" t="s">
        <v>33</v>
      </c>
      <c r="L143" s="43" t="s">
        <v>6</v>
      </c>
      <c r="M143" s="44" t="s">
        <v>62</v>
      </c>
      <c r="N143" s="6" t="s">
        <v>6</v>
      </c>
      <c r="O143" s="137"/>
      <c r="P143" s="137"/>
      <c r="Q143" s="137"/>
      <c r="R143" s="138"/>
      <c r="S143" s="109">
        <v>320</v>
      </c>
      <c r="T143" s="109"/>
      <c r="U143" s="109">
        <f t="shared" si="8"/>
        <v>320</v>
      </c>
      <c r="V143" s="109"/>
      <c r="W143" s="109">
        <f t="shared" si="9"/>
        <v>320</v>
      </c>
      <c r="X143" s="66"/>
      <c r="Y143" s="21"/>
    </row>
    <row r="144" spans="1:25" ht="117.75" hidden="1" customHeight="1" outlineLevel="1" x14ac:dyDescent="0.2">
      <c r="A144" s="114"/>
      <c r="B144" s="7"/>
      <c r="C144" s="67"/>
      <c r="D144" s="166" t="s">
        <v>354</v>
      </c>
      <c r="E144" s="167"/>
      <c r="F144" s="167"/>
      <c r="G144" s="168"/>
      <c r="H144" s="41"/>
      <c r="I144" s="42">
        <v>20</v>
      </c>
      <c r="J144" s="42">
        <v>2</v>
      </c>
      <c r="K144" s="42">
        <v>4</v>
      </c>
      <c r="L144" s="43"/>
      <c r="M144" s="44"/>
      <c r="N144" s="6"/>
      <c r="O144" s="108"/>
      <c r="P144" s="108"/>
      <c r="Q144" s="108"/>
      <c r="R144" s="109"/>
      <c r="S144" s="109">
        <v>0</v>
      </c>
      <c r="T144" s="109">
        <f>1124.5</f>
        <v>1124.5</v>
      </c>
      <c r="U144" s="109">
        <f t="shared" si="8"/>
        <v>1124.5</v>
      </c>
      <c r="V144" s="109">
        <v>10120.1</v>
      </c>
      <c r="W144" s="109">
        <f t="shared" si="9"/>
        <v>11244.6</v>
      </c>
      <c r="X144" s="78" t="s">
        <v>359</v>
      </c>
      <c r="Y144" s="21"/>
    </row>
    <row r="145" spans="1:26" ht="12.75" hidden="1" customHeight="1" outlineLevel="1" x14ac:dyDescent="0.2">
      <c r="A145" s="114"/>
      <c r="B145" s="7"/>
      <c r="C145" s="67"/>
      <c r="D145" s="144" t="s">
        <v>324</v>
      </c>
      <c r="E145" s="139"/>
      <c r="F145" s="139"/>
      <c r="G145" s="139"/>
      <c r="H145" s="41" t="s">
        <v>61</v>
      </c>
      <c r="I145" s="42" t="s">
        <v>53</v>
      </c>
      <c r="J145" s="42" t="s">
        <v>24</v>
      </c>
      <c r="K145" s="42" t="s">
        <v>60</v>
      </c>
      <c r="L145" s="43" t="s">
        <v>6</v>
      </c>
      <c r="M145" s="44" t="s">
        <v>59</v>
      </c>
      <c r="N145" s="6" t="s">
        <v>6</v>
      </c>
      <c r="O145" s="137"/>
      <c r="P145" s="137"/>
      <c r="Q145" s="137"/>
      <c r="R145" s="138"/>
      <c r="S145" s="109">
        <v>0</v>
      </c>
      <c r="T145" s="109"/>
      <c r="U145" s="109">
        <f t="shared" si="8"/>
        <v>0</v>
      </c>
      <c r="V145" s="109"/>
      <c r="W145" s="109">
        <f t="shared" si="9"/>
        <v>0</v>
      </c>
      <c r="X145" s="66"/>
      <c r="Y145" s="21"/>
    </row>
    <row r="146" spans="1:26" ht="409.5" customHeight="1" collapsed="1" x14ac:dyDescent="0.2">
      <c r="A146" s="114"/>
      <c r="B146" s="7"/>
      <c r="C146" s="134" t="s">
        <v>325</v>
      </c>
      <c r="D146" s="135"/>
      <c r="E146" s="135"/>
      <c r="F146" s="135"/>
      <c r="G146" s="135"/>
      <c r="H146" s="36" t="s">
        <v>58</v>
      </c>
      <c r="I146" s="37" t="s">
        <v>53</v>
      </c>
      <c r="J146" s="37" t="s">
        <v>34</v>
      </c>
      <c r="K146" s="37" t="s">
        <v>6</v>
      </c>
      <c r="L146" s="38" t="s">
        <v>6</v>
      </c>
      <c r="M146" s="39" t="s">
        <v>54</v>
      </c>
      <c r="N146" s="40" t="s">
        <v>6</v>
      </c>
      <c r="O146" s="132"/>
      <c r="P146" s="132"/>
      <c r="Q146" s="132"/>
      <c r="R146" s="133"/>
      <c r="S146" s="107">
        <f>S147+S148+S149</f>
        <v>95324.6</v>
      </c>
      <c r="T146" s="107">
        <f>T147+T148+T149</f>
        <v>15038</v>
      </c>
      <c r="U146" s="107">
        <f t="shared" si="8"/>
        <v>110362.6</v>
      </c>
      <c r="V146" s="107">
        <f>V147+V148+V149</f>
        <v>-23914.999999999996</v>
      </c>
      <c r="W146" s="107">
        <f t="shared" ref="W146:W149" si="10">SUM(U146:V146)</f>
        <v>86447.6</v>
      </c>
      <c r="X146" s="65" t="s">
        <v>491</v>
      </c>
      <c r="Y146" s="21"/>
    </row>
    <row r="147" spans="1:26" ht="285.75" hidden="1" customHeight="1" outlineLevel="1" x14ac:dyDescent="0.2">
      <c r="A147" s="114"/>
      <c r="B147" s="7"/>
      <c r="C147" s="67"/>
      <c r="D147" s="139" t="s">
        <v>326</v>
      </c>
      <c r="E147" s="139"/>
      <c r="F147" s="139"/>
      <c r="G147" s="139"/>
      <c r="H147" s="41" t="s">
        <v>57</v>
      </c>
      <c r="I147" s="42" t="s">
        <v>53</v>
      </c>
      <c r="J147" s="42" t="s">
        <v>34</v>
      </c>
      <c r="K147" s="42" t="s">
        <v>19</v>
      </c>
      <c r="L147" s="43" t="s">
        <v>6</v>
      </c>
      <c r="M147" s="44" t="s">
        <v>56</v>
      </c>
      <c r="N147" s="6" t="s">
        <v>6</v>
      </c>
      <c r="O147" s="137"/>
      <c r="P147" s="137"/>
      <c r="Q147" s="137"/>
      <c r="R147" s="138"/>
      <c r="S147" s="109">
        <v>36359.1</v>
      </c>
      <c r="T147" s="109">
        <f>15000</f>
        <v>15000</v>
      </c>
      <c r="U147" s="109">
        <f t="shared" si="8"/>
        <v>51359.1</v>
      </c>
      <c r="V147" s="109">
        <f>-(4992.3+14158.2)-1500-1100.1-1755.2-1225.1-300-29.7-601.6</f>
        <v>-25662.199999999997</v>
      </c>
      <c r="W147" s="109">
        <f t="shared" si="10"/>
        <v>25696.9</v>
      </c>
      <c r="X147" s="66" t="s">
        <v>478</v>
      </c>
      <c r="Y147" s="21"/>
    </row>
    <row r="148" spans="1:26" ht="111" hidden="1" customHeight="1" outlineLevel="1" x14ac:dyDescent="0.2">
      <c r="A148" s="114"/>
      <c r="B148" s="7"/>
      <c r="C148" s="67"/>
      <c r="D148" s="139" t="s">
        <v>327</v>
      </c>
      <c r="E148" s="139"/>
      <c r="F148" s="139"/>
      <c r="G148" s="139"/>
      <c r="H148" s="41" t="s">
        <v>55</v>
      </c>
      <c r="I148" s="42" t="s">
        <v>53</v>
      </c>
      <c r="J148" s="42" t="s">
        <v>34</v>
      </c>
      <c r="K148" s="42" t="s">
        <v>16</v>
      </c>
      <c r="L148" s="43" t="s">
        <v>6</v>
      </c>
      <c r="M148" s="44" t="s">
        <v>55</v>
      </c>
      <c r="N148" s="6" t="s">
        <v>6</v>
      </c>
      <c r="O148" s="137"/>
      <c r="P148" s="137"/>
      <c r="Q148" s="137"/>
      <c r="R148" s="138"/>
      <c r="S148" s="109">
        <v>53465.5</v>
      </c>
      <c r="T148" s="109">
        <v>38</v>
      </c>
      <c r="U148" s="109">
        <f t="shared" si="8"/>
        <v>53503.5</v>
      </c>
      <c r="V148" s="109">
        <f>911.7+737.5+98</f>
        <v>1747.2</v>
      </c>
      <c r="W148" s="109">
        <f t="shared" si="10"/>
        <v>55250.7</v>
      </c>
      <c r="X148" s="66" t="s">
        <v>387</v>
      </c>
      <c r="Y148" s="21"/>
    </row>
    <row r="149" spans="1:26" ht="109.5" hidden="1" customHeight="1" outlineLevel="1" x14ac:dyDescent="0.2">
      <c r="A149" s="114"/>
      <c r="B149" s="7"/>
      <c r="C149" s="67"/>
      <c r="D149" s="139" t="s">
        <v>328</v>
      </c>
      <c r="E149" s="139"/>
      <c r="F149" s="139"/>
      <c r="G149" s="139"/>
      <c r="H149" s="41" t="s">
        <v>54</v>
      </c>
      <c r="I149" s="42" t="s">
        <v>53</v>
      </c>
      <c r="J149" s="42" t="s">
        <v>34</v>
      </c>
      <c r="K149" s="42" t="s">
        <v>33</v>
      </c>
      <c r="L149" s="43" t="s">
        <v>6</v>
      </c>
      <c r="M149" s="44" t="s">
        <v>54</v>
      </c>
      <c r="N149" s="6" t="s">
        <v>6</v>
      </c>
      <c r="O149" s="137"/>
      <c r="P149" s="137"/>
      <c r="Q149" s="137"/>
      <c r="R149" s="138"/>
      <c r="S149" s="109">
        <v>5500</v>
      </c>
      <c r="T149" s="109"/>
      <c r="U149" s="109">
        <f t="shared" si="8"/>
        <v>5500</v>
      </c>
      <c r="V149" s="109"/>
      <c r="W149" s="109">
        <f t="shared" si="10"/>
        <v>5500</v>
      </c>
      <c r="X149" s="66"/>
      <c r="Y149" s="21"/>
    </row>
    <row r="150" spans="1:26" ht="27.75" customHeight="1" collapsed="1" x14ac:dyDescent="0.2">
      <c r="A150" s="114"/>
      <c r="B150" s="7"/>
      <c r="C150" s="136" t="s">
        <v>329</v>
      </c>
      <c r="D150" s="135"/>
      <c r="E150" s="135"/>
      <c r="F150" s="135"/>
      <c r="G150" s="135"/>
      <c r="H150" s="36" t="s">
        <v>51</v>
      </c>
      <c r="I150" s="37" t="s">
        <v>53</v>
      </c>
      <c r="J150" s="37" t="s">
        <v>52</v>
      </c>
      <c r="K150" s="37" t="s">
        <v>6</v>
      </c>
      <c r="L150" s="38" t="s">
        <v>6</v>
      </c>
      <c r="M150" s="39" t="s">
        <v>51</v>
      </c>
      <c r="N150" s="40" t="s">
        <v>6</v>
      </c>
      <c r="O150" s="132"/>
      <c r="P150" s="132"/>
      <c r="Q150" s="132"/>
      <c r="R150" s="133"/>
      <c r="S150" s="107">
        <f>S151</f>
        <v>26577</v>
      </c>
      <c r="T150" s="107">
        <f>T151</f>
        <v>0</v>
      </c>
      <c r="U150" s="107">
        <f t="shared" si="8"/>
        <v>26577</v>
      </c>
      <c r="V150" s="107">
        <f>V151</f>
        <v>0</v>
      </c>
      <c r="W150" s="107">
        <f t="shared" si="9"/>
        <v>26577</v>
      </c>
      <c r="X150" s="65"/>
      <c r="Y150" s="21"/>
    </row>
    <row r="151" spans="1:26" ht="21.75" hidden="1" customHeight="1" outlineLevel="1" x14ac:dyDescent="0.2">
      <c r="A151" s="114"/>
      <c r="B151" s="7"/>
      <c r="C151" s="67"/>
      <c r="D151" s="144" t="s">
        <v>330</v>
      </c>
      <c r="E151" s="139"/>
      <c r="F151" s="139"/>
      <c r="G151" s="139"/>
      <c r="H151" s="41" t="s">
        <v>51</v>
      </c>
      <c r="I151" s="42" t="s">
        <v>53</v>
      </c>
      <c r="J151" s="42" t="s">
        <v>52</v>
      </c>
      <c r="K151" s="42" t="s">
        <v>19</v>
      </c>
      <c r="L151" s="43" t="s">
        <v>6</v>
      </c>
      <c r="M151" s="44" t="s">
        <v>51</v>
      </c>
      <c r="N151" s="6" t="s">
        <v>6</v>
      </c>
      <c r="O151" s="137"/>
      <c r="P151" s="137"/>
      <c r="Q151" s="137"/>
      <c r="R151" s="138"/>
      <c r="S151" s="109">
        <v>26577</v>
      </c>
      <c r="T151" s="109"/>
      <c r="U151" s="109">
        <f t="shared" si="8"/>
        <v>26577</v>
      </c>
      <c r="V151" s="109"/>
      <c r="W151" s="109">
        <f t="shared" si="9"/>
        <v>26577</v>
      </c>
      <c r="X151" s="66"/>
      <c r="Y151" s="21"/>
    </row>
    <row r="152" spans="1:26" ht="31.5" customHeight="1" collapsed="1" x14ac:dyDescent="0.2">
      <c r="A152" s="114"/>
      <c r="B152" s="64"/>
      <c r="C152" s="147" t="s">
        <v>454</v>
      </c>
      <c r="D152" s="148"/>
      <c r="E152" s="148"/>
      <c r="F152" s="148"/>
      <c r="G152" s="149"/>
      <c r="H152" s="53" t="s">
        <v>50</v>
      </c>
      <c r="I152" s="54" t="s">
        <v>49</v>
      </c>
      <c r="J152" s="54" t="s">
        <v>6</v>
      </c>
      <c r="K152" s="54" t="s">
        <v>6</v>
      </c>
      <c r="L152" s="55" t="s">
        <v>6</v>
      </c>
      <c r="M152" s="56" t="s">
        <v>48</v>
      </c>
      <c r="N152" s="57" t="s">
        <v>6</v>
      </c>
      <c r="O152" s="142"/>
      <c r="P152" s="142"/>
      <c r="Q152" s="142"/>
      <c r="R152" s="143"/>
      <c r="S152" s="110">
        <f>S153</f>
        <v>1168.5999999999999</v>
      </c>
      <c r="T152" s="110">
        <f>T153</f>
        <v>0</v>
      </c>
      <c r="U152" s="110">
        <f t="shared" si="8"/>
        <v>1168.5999999999999</v>
      </c>
      <c r="V152" s="110">
        <f>V153</f>
        <v>0</v>
      </c>
      <c r="W152" s="110">
        <f t="shared" si="9"/>
        <v>1168.5999999999999</v>
      </c>
      <c r="X152" s="74"/>
      <c r="Y152" s="21"/>
    </row>
    <row r="153" spans="1:26" ht="21.75" hidden="1" customHeight="1" outlineLevel="1" x14ac:dyDescent="0.2">
      <c r="A153" s="114"/>
      <c r="B153" s="7"/>
      <c r="C153" s="67"/>
      <c r="D153" s="144" t="s">
        <v>331</v>
      </c>
      <c r="E153" s="139"/>
      <c r="F153" s="139"/>
      <c r="G153" s="139"/>
      <c r="H153" s="41" t="s">
        <v>50</v>
      </c>
      <c r="I153" s="42" t="s">
        <v>49</v>
      </c>
      <c r="J153" s="42" t="s">
        <v>4</v>
      </c>
      <c r="K153" s="42" t="s">
        <v>19</v>
      </c>
      <c r="L153" s="43" t="s">
        <v>6</v>
      </c>
      <c r="M153" s="44" t="s">
        <v>48</v>
      </c>
      <c r="N153" s="6" t="s">
        <v>6</v>
      </c>
      <c r="O153" s="137"/>
      <c r="P153" s="137"/>
      <c r="Q153" s="137"/>
      <c r="R153" s="138"/>
      <c r="S153" s="109">
        <v>1168.5999999999999</v>
      </c>
      <c r="T153" s="109"/>
      <c r="U153" s="109">
        <f t="shared" si="8"/>
        <v>1168.5999999999999</v>
      </c>
      <c r="V153" s="109"/>
      <c r="W153" s="109">
        <f t="shared" si="9"/>
        <v>1168.5999999999999</v>
      </c>
      <c r="X153" s="66"/>
      <c r="Y153" s="21"/>
    </row>
    <row r="154" spans="1:26" ht="18" customHeight="1" collapsed="1" x14ac:dyDescent="0.2">
      <c r="A154" s="114"/>
      <c r="B154" s="64"/>
      <c r="C154" s="172" t="s">
        <v>235</v>
      </c>
      <c r="D154" s="148"/>
      <c r="E154" s="148"/>
      <c r="F154" s="148"/>
      <c r="G154" s="149"/>
      <c r="H154" s="53" t="s">
        <v>47</v>
      </c>
      <c r="I154" s="54" t="s">
        <v>35</v>
      </c>
      <c r="J154" s="54" t="s">
        <v>6</v>
      </c>
      <c r="K154" s="54" t="s">
        <v>6</v>
      </c>
      <c r="L154" s="55" t="s">
        <v>6</v>
      </c>
      <c r="M154" s="56" t="s">
        <v>32</v>
      </c>
      <c r="N154" s="57" t="s">
        <v>6</v>
      </c>
      <c r="O154" s="142"/>
      <c r="P154" s="142"/>
      <c r="Q154" s="142"/>
      <c r="R154" s="143"/>
      <c r="S154" s="110">
        <f>S155+S158+S160</f>
        <v>510900.4</v>
      </c>
      <c r="T154" s="110">
        <f>SUM(T155+T158+T160)</f>
        <v>-12487</v>
      </c>
      <c r="U154" s="110">
        <f t="shared" si="8"/>
        <v>498413.4</v>
      </c>
      <c r="V154" s="110">
        <f>SUM(V155+V158+V160)</f>
        <v>883.69999999999993</v>
      </c>
      <c r="W154" s="110">
        <f t="shared" si="9"/>
        <v>499297.10000000003</v>
      </c>
      <c r="X154" s="74"/>
      <c r="Y154" s="21"/>
    </row>
    <row r="155" spans="1:26" ht="87.75" customHeight="1" x14ac:dyDescent="0.2">
      <c r="A155" s="114"/>
      <c r="B155" s="7"/>
      <c r="C155" s="136" t="s">
        <v>332</v>
      </c>
      <c r="D155" s="135"/>
      <c r="E155" s="135"/>
      <c r="F155" s="135"/>
      <c r="G155" s="135"/>
      <c r="H155" s="36" t="s">
        <v>46</v>
      </c>
      <c r="I155" s="37" t="s">
        <v>35</v>
      </c>
      <c r="J155" s="37" t="s">
        <v>30</v>
      </c>
      <c r="K155" s="37" t="s">
        <v>6</v>
      </c>
      <c r="L155" s="38" t="s">
        <v>6</v>
      </c>
      <c r="M155" s="39" t="s">
        <v>42</v>
      </c>
      <c r="N155" s="40" t="s">
        <v>6</v>
      </c>
      <c r="O155" s="132"/>
      <c r="P155" s="132"/>
      <c r="Q155" s="132"/>
      <c r="R155" s="133"/>
      <c r="S155" s="107">
        <f>S156+S157</f>
        <v>236394.2</v>
      </c>
      <c r="T155" s="107">
        <f>T156+T157</f>
        <v>0</v>
      </c>
      <c r="U155" s="107">
        <f t="shared" si="8"/>
        <v>236394.2</v>
      </c>
      <c r="V155" s="107">
        <f>V156+V157</f>
        <v>-479.4</v>
      </c>
      <c r="W155" s="107">
        <f t="shared" si="9"/>
        <v>235914.80000000002</v>
      </c>
      <c r="X155" s="101" t="s">
        <v>448</v>
      </c>
      <c r="Y155" s="21"/>
    </row>
    <row r="156" spans="1:26" ht="38.25" hidden="1" customHeight="1" outlineLevel="1" x14ac:dyDescent="0.2">
      <c r="A156" s="114"/>
      <c r="B156" s="7"/>
      <c r="C156" s="67"/>
      <c r="D156" s="144" t="s">
        <v>333</v>
      </c>
      <c r="E156" s="139"/>
      <c r="F156" s="139"/>
      <c r="G156" s="139"/>
      <c r="H156" s="41" t="s">
        <v>45</v>
      </c>
      <c r="I156" s="42" t="s">
        <v>35</v>
      </c>
      <c r="J156" s="42" t="s">
        <v>30</v>
      </c>
      <c r="K156" s="42" t="s">
        <v>19</v>
      </c>
      <c r="L156" s="43" t="s">
        <v>6</v>
      </c>
      <c r="M156" s="44" t="s">
        <v>44</v>
      </c>
      <c r="N156" s="6" t="s">
        <v>6</v>
      </c>
      <c r="O156" s="137"/>
      <c r="P156" s="137"/>
      <c r="Q156" s="137"/>
      <c r="R156" s="138"/>
      <c r="S156" s="109">
        <v>200831.4</v>
      </c>
      <c r="T156" s="109"/>
      <c r="U156" s="109">
        <f t="shared" si="8"/>
        <v>200831.4</v>
      </c>
      <c r="V156" s="109">
        <f>-155.2-10</f>
        <v>-165.2</v>
      </c>
      <c r="W156" s="109">
        <f t="shared" si="9"/>
        <v>200666.19999999998</v>
      </c>
      <c r="X156" s="100" t="s">
        <v>404</v>
      </c>
      <c r="Y156" s="21"/>
    </row>
    <row r="157" spans="1:26" ht="42.75" hidden="1" customHeight="1" outlineLevel="1" x14ac:dyDescent="0.2">
      <c r="A157" s="114"/>
      <c r="B157" s="7"/>
      <c r="C157" s="67"/>
      <c r="D157" s="144" t="s">
        <v>334</v>
      </c>
      <c r="E157" s="139"/>
      <c r="F157" s="139"/>
      <c r="G157" s="139"/>
      <c r="H157" s="41" t="s">
        <v>43</v>
      </c>
      <c r="I157" s="42" t="s">
        <v>35</v>
      </c>
      <c r="J157" s="42" t="s">
        <v>30</v>
      </c>
      <c r="K157" s="42" t="s">
        <v>16</v>
      </c>
      <c r="L157" s="43" t="s">
        <v>6</v>
      </c>
      <c r="M157" s="44" t="s">
        <v>42</v>
      </c>
      <c r="N157" s="6" t="s">
        <v>6</v>
      </c>
      <c r="O157" s="137"/>
      <c r="P157" s="137"/>
      <c r="Q157" s="137"/>
      <c r="R157" s="138"/>
      <c r="S157" s="109">
        <v>35562.800000000003</v>
      </c>
      <c r="T157" s="109"/>
      <c r="U157" s="109">
        <f t="shared" si="8"/>
        <v>35562.800000000003</v>
      </c>
      <c r="V157" s="109">
        <v>-314.2</v>
      </c>
      <c r="W157" s="109">
        <f t="shared" si="9"/>
        <v>35248.600000000006</v>
      </c>
      <c r="X157" s="100" t="s">
        <v>403</v>
      </c>
      <c r="Y157" s="21"/>
    </row>
    <row r="158" spans="1:26" ht="101.25" customHeight="1" collapsed="1" x14ac:dyDescent="0.2">
      <c r="A158" s="114"/>
      <c r="B158" s="7"/>
      <c r="C158" s="136" t="s">
        <v>335</v>
      </c>
      <c r="D158" s="135"/>
      <c r="E158" s="135"/>
      <c r="F158" s="135"/>
      <c r="G158" s="135"/>
      <c r="H158" s="36" t="s">
        <v>41</v>
      </c>
      <c r="I158" s="37" t="s">
        <v>35</v>
      </c>
      <c r="J158" s="37" t="s">
        <v>24</v>
      </c>
      <c r="K158" s="37" t="s">
        <v>6</v>
      </c>
      <c r="L158" s="38" t="s">
        <v>6</v>
      </c>
      <c r="M158" s="39" t="s">
        <v>40</v>
      </c>
      <c r="N158" s="40" t="s">
        <v>6</v>
      </c>
      <c r="O158" s="132"/>
      <c r="P158" s="132"/>
      <c r="Q158" s="132"/>
      <c r="R158" s="133"/>
      <c r="S158" s="107">
        <f>S159</f>
        <v>40873.4</v>
      </c>
      <c r="T158" s="107">
        <f>T159</f>
        <v>0</v>
      </c>
      <c r="U158" s="107">
        <f t="shared" si="8"/>
        <v>40873.4</v>
      </c>
      <c r="V158" s="107">
        <f>V159</f>
        <v>1064</v>
      </c>
      <c r="W158" s="107">
        <f t="shared" si="9"/>
        <v>41937.4</v>
      </c>
      <c r="X158" s="104" t="s">
        <v>476</v>
      </c>
      <c r="Y158" s="21"/>
    </row>
    <row r="159" spans="1:26" ht="101.25" hidden="1" customHeight="1" outlineLevel="1" x14ac:dyDescent="0.2">
      <c r="A159" s="114"/>
      <c r="B159" s="7"/>
      <c r="C159" s="67"/>
      <c r="D159" s="144" t="s">
        <v>336</v>
      </c>
      <c r="E159" s="139"/>
      <c r="F159" s="139"/>
      <c r="G159" s="139"/>
      <c r="H159" s="41" t="s">
        <v>41</v>
      </c>
      <c r="I159" s="42" t="s">
        <v>35</v>
      </c>
      <c r="J159" s="42" t="s">
        <v>24</v>
      </c>
      <c r="K159" s="42" t="s">
        <v>19</v>
      </c>
      <c r="L159" s="43" t="s">
        <v>6</v>
      </c>
      <c r="M159" s="44" t="s">
        <v>40</v>
      </c>
      <c r="N159" s="6" t="s">
        <v>6</v>
      </c>
      <c r="O159" s="137"/>
      <c r="P159" s="137"/>
      <c r="Q159" s="137"/>
      <c r="R159" s="138"/>
      <c r="S159" s="109">
        <v>40873.4</v>
      </c>
      <c r="T159" s="109"/>
      <c r="U159" s="109">
        <f t="shared" si="8"/>
        <v>40873.4</v>
      </c>
      <c r="V159" s="109">
        <v>1064</v>
      </c>
      <c r="W159" s="109">
        <f t="shared" si="9"/>
        <v>41937.4</v>
      </c>
      <c r="X159" s="104" t="s">
        <v>442</v>
      </c>
      <c r="Y159" s="21"/>
    </row>
    <row r="160" spans="1:26" ht="93.75" customHeight="1" collapsed="1" x14ac:dyDescent="0.2">
      <c r="A160" s="114"/>
      <c r="B160" s="7"/>
      <c r="C160" s="136" t="s">
        <v>337</v>
      </c>
      <c r="D160" s="135"/>
      <c r="E160" s="135"/>
      <c r="F160" s="135"/>
      <c r="G160" s="135"/>
      <c r="H160" s="36" t="s">
        <v>39</v>
      </c>
      <c r="I160" s="37" t="s">
        <v>35</v>
      </c>
      <c r="J160" s="37" t="s">
        <v>34</v>
      </c>
      <c r="K160" s="37" t="s">
        <v>6</v>
      </c>
      <c r="L160" s="38" t="s">
        <v>6</v>
      </c>
      <c r="M160" s="39" t="s">
        <v>32</v>
      </c>
      <c r="N160" s="40" t="s">
        <v>6</v>
      </c>
      <c r="O160" s="132"/>
      <c r="P160" s="132"/>
      <c r="Q160" s="132"/>
      <c r="R160" s="133"/>
      <c r="S160" s="107">
        <f>S161+S162+S163</f>
        <v>233632.80000000002</v>
      </c>
      <c r="T160" s="107">
        <f>T161+T162+T163</f>
        <v>-12487</v>
      </c>
      <c r="U160" s="107">
        <f t="shared" si="8"/>
        <v>221145.80000000002</v>
      </c>
      <c r="V160" s="107">
        <f>V161+V162+V163</f>
        <v>299.09999999999991</v>
      </c>
      <c r="W160" s="107">
        <f t="shared" si="9"/>
        <v>221444.90000000002</v>
      </c>
      <c r="X160" s="65" t="s">
        <v>485</v>
      </c>
      <c r="Y160" s="21"/>
      <c r="Z160" s="91"/>
    </row>
    <row r="161" spans="1:25" ht="96.75" hidden="1" customHeight="1" outlineLevel="1" x14ac:dyDescent="0.2">
      <c r="A161" s="114"/>
      <c r="B161" s="7"/>
      <c r="C161" s="67"/>
      <c r="D161" s="144" t="s">
        <v>338</v>
      </c>
      <c r="E161" s="139"/>
      <c r="F161" s="139"/>
      <c r="G161" s="139"/>
      <c r="H161" s="41" t="s">
        <v>38</v>
      </c>
      <c r="I161" s="42" t="s">
        <v>35</v>
      </c>
      <c r="J161" s="42" t="s">
        <v>34</v>
      </c>
      <c r="K161" s="42" t="s">
        <v>19</v>
      </c>
      <c r="L161" s="43" t="s">
        <v>6</v>
      </c>
      <c r="M161" s="44" t="s">
        <v>37</v>
      </c>
      <c r="N161" s="6" t="s">
        <v>6</v>
      </c>
      <c r="O161" s="137"/>
      <c r="P161" s="137"/>
      <c r="Q161" s="137"/>
      <c r="R161" s="138"/>
      <c r="S161" s="109">
        <v>126725.8</v>
      </c>
      <c r="T161" s="109"/>
      <c r="U161" s="109">
        <f t="shared" si="8"/>
        <v>126725.8</v>
      </c>
      <c r="V161" s="109">
        <v>617.29999999999995</v>
      </c>
      <c r="W161" s="109">
        <f t="shared" si="9"/>
        <v>127343.1</v>
      </c>
      <c r="X161" s="66" t="s">
        <v>484</v>
      </c>
      <c r="Y161" s="21"/>
    </row>
    <row r="162" spans="1:25" ht="59.25" hidden="1" customHeight="1" outlineLevel="1" x14ac:dyDescent="0.2">
      <c r="A162" s="114"/>
      <c r="B162" s="7"/>
      <c r="C162" s="67"/>
      <c r="D162" s="144" t="s">
        <v>339</v>
      </c>
      <c r="E162" s="139"/>
      <c r="F162" s="139"/>
      <c r="G162" s="139"/>
      <c r="H162" s="41" t="s">
        <v>36</v>
      </c>
      <c r="I162" s="42" t="s">
        <v>35</v>
      </c>
      <c r="J162" s="42" t="s">
        <v>34</v>
      </c>
      <c r="K162" s="42" t="s">
        <v>16</v>
      </c>
      <c r="L162" s="43" t="s">
        <v>6</v>
      </c>
      <c r="M162" s="44" t="s">
        <v>36</v>
      </c>
      <c r="N162" s="6" t="s">
        <v>6</v>
      </c>
      <c r="O162" s="137"/>
      <c r="P162" s="137"/>
      <c r="Q162" s="137"/>
      <c r="R162" s="138"/>
      <c r="S162" s="109">
        <v>57356.9</v>
      </c>
      <c r="T162" s="109">
        <v>300</v>
      </c>
      <c r="U162" s="109">
        <f t="shared" ref="U162:U177" si="11">SUM(S162:T162)</f>
        <v>57656.9</v>
      </c>
      <c r="V162" s="109">
        <f>56.6-341.3+400+250</f>
        <v>365.3</v>
      </c>
      <c r="W162" s="109">
        <f t="shared" si="9"/>
        <v>58022.200000000004</v>
      </c>
      <c r="X162" s="66" t="s">
        <v>441</v>
      </c>
      <c r="Y162" s="21"/>
    </row>
    <row r="163" spans="1:25" ht="56.25" hidden="1" customHeight="1" outlineLevel="1" x14ac:dyDescent="0.2">
      <c r="A163" s="114"/>
      <c r="B163" s="7"/>
      <c r="C163" s="67"/>
      <c r="D163" s="144" t="s">
        <v>340</v>
      </c>
      <c r="E163" s="139"/>
      <c r="F163" s="139"/>
      <c r="G163" s="139"/>
      <c r="H163" s="41" t="s">
        <v>32</v>
      </c>
      <c r="I163" s="42" t="s">
        <v>35</v>
      </c>
      <c r="J163" s="42" t="s">
        <v>34</v>
      </c>
      <c r="K163" s="42" t="s">
        <v>33</v>
      </c>
      <c r="L163" s="43" t="s">
        <v>6</v>
      </c>
      <c r="M163" s="44" t="s">
        <v>32</v>
      </c>
      <c r="N163" s="6" t="s">
        <v>6</v>
      </c>
      <c r="O163" s="137"/>
      <c r="P163" s="137"/>
      <c r="Q163" s="137"/>
      <c r="R163" s="138"/>
      <c r="S163" s="109">
        <v>49550.1</v>
      </c>
      <c r="T163" s="70">
        <v>-12787</v>
      </c>
      <c r="U163" s="70">
        <f t="shared" si="11"/>
        <v>36763.1</v>
      </c>
      <c r="V163" s="70">
        <f>-250-433.5</f>
        <v>-683.5</v>
      </c>
      <c r="W163" s="70">
        <f t="shared" si="9"/>
        <v>36079.599999999999</v>
      </c>
      <c r="X163" s="66" t="s">
        <v>483</v>
      </c>
      <c r="Y163" s="21"/>
    </row>
    <row r="164" spans="1:25" ht="29.25" customHeight="1" collapsed="1" x14ac:dyDescent="0.2">
      <c r="A164" s="114"/>
      <c r="B164" s="64"/>
      <c r="C164" s="147" t="s">
        <v>426</v>
      </c>
      <c r="D164" s="148"/>
      <c r="E164" s="148"/>
      <c r="F164" s="148"/>
      <c r="G164" s="149"/>
      <c r="H164" s="53" t="s">
        <v>31</v>
      </c>
      <c r="I164" s="54" t="s">
        <v>25</v>
      </c>
      <c r="J164" s="54" t="s">
        <v>6</v>
      </c>
      <c r="K164" s="54" t="s">
        <v>6</v>
      </c>
      <c r="L164" s="55" t="s">
        <v>6</v>
      </c>
      <c r="M164" s="56" t="s">
        <v>22</v>
      </c>
      <c r="N164" s="57" t="s">
        <v>6</v>
      </c>
      <c r="O164" s="142"/>
      <c r="P164" s="142"/>
      <c r="Q164" s="142"/>
      <c r="R164" s="143"/>
      <c r="S164" s="110">
        <f>S165+S168</f>
        <v>22915.3</v>
      </c>
      <c r="T164" s="110">
        <f>T165+T168</f>
        <v>4162.3999999999996</v>
      </c>
      <c r="U164" s="110">
        <f>U165+U168</f>
        <v>27077.699999999997</v>
      </c>
      <c r="V164" s="110">
        <f>V165+V168</f>
        <v>2358.6</v>
      </c>
      <c r="W164" s="110">
        <f>W165+W168</f>
        <v>29436.299999999996</v>
      </c>
      <c r="X164" s="74"/>
      <c r="Y164" s="21"/>
    </row>
    <row r="165" spans="1:25" ht="61.5" customHeight="1" x14ac:dyDescent="0.2">
      <c r="A165" s="114"/>
      <c r="B165" s="7"/>
      <c r="C165" s="136" t="s">
        <v>341</v>
      </c>
      <c r="D165" s="135"/>
      <c r="E165" s="135"/>
      <c r="F165" s="135"/>
      <c r="G165" s="135"/>
      <c r="H165" s="36" t="s">
        <v>29</v>
      </c>
      <c r="I165" s="37" t="s">
        <v>25</v>
      </c>
      <c r="J165" s="37" t="s">
        <v>30</v>
      </c>
      <c r="K165" s="37" t="s">
        <v>6</v>
      </c>
      <c r="L165" s="38" t="s">
        <v>6</v>
      </c>
      <c r="M165" s="39" t="s">
        <v>29</v>
      </c>
      <c r="N165" s="40" t="s">
        <v>6</v>
      </c>
      <c r="O165" s="132"/>
      <c r="P165" s="132"/>
      <c r="Q165" s="132"/>
      <c r="R165" s="133"/>
      <c r="S165" s="107">
        <f>S167</f>
        <v>9437.5</v>
      </c>
      <c r="T165" s="107">
        <f>T167</f>
        <v>-9437.5</v>
      </c>
      <c r="U165" s="107">
        <f t="shared" si="11"/>
        <v>0</v>
      </c>
      <c r="V165" s="107">
        <f>V167+V166</f>
        <v>365.5</v>
      </c>
      <c r="W165" s="107">
        <f t="shared" ref="W165:W178" si="12">SUM(U165:V165)</f>
        <v>365.5</v>
      </c>
      <c r="X165" s="65" t="s">
        <v>417</v>
      </c>
      <c r="Y165" s="21"/>
    </row>
    <row r="166" spans="1:25" ht="61.5" hidden="1" customHeight="1" outlineLevel="1" x14ac:dyDescent="0.2">
      <c r="A166" s="114"/>
      <c r="B166" s="7"/>
      <c r="C166" s="102"/>
      <c r="D166" s="139" t="s">
        <v>416</v>
      </c>
      <c r="E166" s="139"/>
      <c r="F166" s="139"/>
      <c r="G166" s="139"/>
      <c r="H166" s="41" t="s">
        <v>29</v>
      </c>
      <c r="I166" s="42" t="s">
        <v>25</v>
      </c>
      <c r="J166" s="42" t="s">
        <v>30</v>
      </c>
      <c r="K166" s="99" t="s">
        <v>19</v>
      </c>
      <c r="L166" s="43" t="s">
        <v>6</v>
      </c>
      <c r="M166" s="44" t="s">
        <v>29</v>
      </c>
      <c r="N166" s="6" t="s">
        <v>6</v>
      </c>
      <c r="O166" s="137"/>
      <c r="P166" s="137"/>
      <c r="Q166" s="137"/>
      <c r="R166" s="138"/>
      <c r="S166" s="109">
        <v>9437.5</v>
      </c>
      <c r="T166" s="109">
        <f>-9437.5</f>
        <v>-9437.5</v>
      </c>
      <c r="U166" s="109">
        <f t="shared" ref="U166" si="13">SUM(S166:T166)</f>
        <v>0</v>
      </c>
      <c r="V166" s="109">
        <v>365.5</v>
      </c>
      <c r="W166" s="109">
        <f t="shared" ref="W166" si="14">SUM(U166:V166)</f>
        <v>365.5</v>
      </c>
      <c r="X166" s="66" t="s">
        <v>417</v>
      </c>
      <c r="Y166" s="21"/>
    </row>
    <row r="167" spans="1:25" ht="34.5" hidden="1" customHeight="1" outlineLevel="1" x14ac:dyDescent="0.2">
      <c r="A167" s="114"/>
      <c r="B167" s="7"/>
      <c r="C167" s="67"/>
      <c r="D167" s="144" t="s">
        <v>342</v>
      </c>
      <c r="E167" s="139"/>
      <c r="F167" s="139"/>
      <c r="G167" s="139"/>
      <c r="H167" s="41" t="s">
        <v>29</v>
      </c>
      <c r="I167" s="42" t="s">
        <v>25</v>
      </c>
      <c r="J167" s="42" t="s">
        <v>30</v>
      </c>
      <c r="K167" s="42" t="s">
        <v>23</v>
      </c>
      <c r="L167" s="43" t="s">
        <v>6</v>
      </c>
      <c r="M167" s="44" t="s">
        <v>29</v>
      </c>
      <c r="N167" s="6" t="s">
        <v>6</v>
      </c>
      <c r="O167" s="137"/>
      <c r="P167" s="137"/>
      <c r="Q167" s="137"/>
      <c r="R167" s="138"/>
      <c r="S167" s="109">
        <v>9437.5</v>
      </c>
      <c r="T167" s="109">
        <f>-9437.5</f>
        <v>-9437.5</v>
      </c>
      <c r="U167" s="109">
        <f t="shared" si="11"/>
        <v>0</v>
      </c>
      <c r="V167" s="109"/>
      <c r="W167" s="109">
        <f t="shared" si="12"/>
        <v>0</v>
      </c>
      <c r="X167" s="66"/>
      <c r="Y167" s="21"/>
    </row>
    <row r="168" spans="1:25" ht="74.25" customHeight="1" collapsed="1" x14ac:dyDescent="0.2">
      <c r="A168" s="114"/>
      <c r="B168" s="7"/>
      <c r="C168" s="136" t="s">
        <v>343</v>
      </c>
      <c r="D168" s="135"/>
      <c r="E168" s="135"/>
      <c r="F168" s="135"/>
      <c r="G168" s="135"/>
      <c r="H168" s="36" t="s">
        <v>28</v>
      </c>
      <c r="I168" s="37" t="s">
        <v>25</v>
      </c>
      <c r="J168" s="37" t="s">
        <v>24</v>
      </c>
      <c r="K168" s="37" t="s">
        <v>6</v>
      </c>
      <c r="L168" s="38" t="s">
        <v>6</v>
      </c>
      <c r="M168" s="39" t="s">
        <v>22</v>
      </c>
      <c r="N168" s="40" t="s">
        <v>6</v>
      </c>
      <c r="O168" s="132"/>
      <c r="P168" s="132"/>
      <c r="Q168" s="132"/>
      <c r="R168" s="133"/>
      <c r="S168" s="107">
        <f>S169+S170</f>
        <v>13477.8</v>
      </c>
      <c r="T168" s="107">
        <f>T169+T170</f>
        <v>13599.9</v>
      </c>
      <c r="U168" s="107">
        <f t="shared" si="11"/>
        <v>27077.699999999997</v>
      </c>
      <c r="V168" s="107">
        <f>V169+V170</f>
        <v>1993.1</v>
      </c>
      <c r="W168" s="107">
        <f t="shared" si="12"/>
        <v>29070.799999999996</v>
      </c>
      <c r="X168" s="65" t="s">
        <v>467</v>
      </c>
      <c r="Y168" s="21"/>
    </row>
    <row r="169" spans="1:25" ht="98.25" hidden="1" customHeight="1" outlineLevel="1" x14ac:dyDescent="0.2">
      <c r="A169" s="114"/>
      <c r="B169" s="7"/>
      <c r="C169" s="67"/>
      <c r="D169" s="144" t="s">
        <v>344</v>
      </c>
      <c r="E169" s="139"/>
      <c r="F169" s="139"/>
      <c r="G169" s="139"/>
      <c r="H169" s="41" t="s">
        <v>27</v>
      </c>
      <c r="I169" s="42" t="s">
        <v>25</v>
      </c>
      <c r="J169" s="42" t="s">
        <v>24</v>
      </c>
      <c r="K169" s="42" t="s">
        <v>19</v>
      </c>
      <c r="L169" s="43" t="s">
        <v>6</v>
      </c>
      <c r="M169" s="44" t="s">
        <v>26</v>
      </c>
      <c r="N169" s="6" t="s">
        <v>6</v>
      </c>
      <c r="O169" s="137"/>
      <c r="P169" s="137"/>
      <c r="Q169" s="137"/>
      <c r="R169" s="138"/>
      <c r="S169" s="109">
        <v>4040.4</v>
      </c>
      <c r="T169" s="109">
        <f>3992.5+170</f>
        <v>4162.5</v>
      </c>
      <c r="U169" s="109">
        <f t="shared" si="11"/>
        <v>8202.9</v>
      </c>
      <c r="V169" s="109">
        <f>500+1000</f>
        <v>1500</v>
      </c>
      <c r="W169" s="109">
        <f t="shared" si="12"/>
        <v>9702.9</v>
      </c>
      <c r="X169" s="66" t="s">
        <v>427</v>
      </c>
      <c r="Y169" s="21"/>
    </row>
    <row r="170" spans="1:25" ht="101.25" hidden="1" customHeight="1" outlineLevel="1" x14ac:dyDescent="0.2">
      <c r="A170" s="114"/>
      <c r="B170" s="7"/>
      <c r="C170" s="67"/>
      <c r="D170" s="144" t="s">
        <v>342</v>
      </c>
      <c r="E170" s="139"/>
      <c r="F170" s="139"/>
      <c r="G170" s="139"/>
      <c r="H170" s="41" t="s">
        <v>22</v>
      </c>
      <c r="I170" s="42" t="s">
        <v>25</v>
      </c>
      <c r="J170" s="42" t="s">
        <v>24</v>
      </c>
      <c r="K170" s="42" t="s">
        <v>23</v>
      </c>
      <c r="L170" s="43" t="s">
        <v>6</v>
      </c>
      <c r="M170" s="44" t="s">
        <v>22</v>
      </c>
      <c r="N170" s="6" t="s">
        <v>6</v>
      </c>
      <c r="O170" s="137"/>
      <c r="P170" s="137"/>
      <c r="Q170" s="137"/>
      <c r="R170" s="138"/>
      <c r="S170" s="109">
        <v>9437.4</v>
      </c>
      <c r="T170" s="109">
        <f>9437.5-0.1</f>
        <v>9437.4</v>
      </c>
      <c r="U170" s="109">
        <f>SUM(S170:T170)</f>
        <v>18874.8</v>
      </c>
      <c r="V170" s="109">
        <f>650-57-100+0.1</f>
        <v>493.1</v>
      </c>
      <c r="W170" s="109">
        <f t="shared" ref="W170" si="15">SUM(U170:V170)</f>
        <v>19367.899999999998</v>
      </c>
      <c r="X170" s="66" t="s">
        <v>466</v>
      </c>
      <c r="Y170" s="21"/>
    </row>
    <row r="171" spans="1:25" ht="79.5" customHeight="1" collapsed="1" thickBot="1" x14ac:dyDescent="0.25">
      <c r="A171" s="114"/>
      <c r="B171" s="7"/>
      <c r="C171" s="164" t="s">
        <v>236</v>
      </c>
      <c r="D171" s="165"/>
      <c r="E171" s="165"/>
      <c r="F171" s="165"/>
      <c r="G171" s="165"/>
      <c r="H171" s="53" t="s">
        <v>21</v>
      </c>
      <c r="I171" s="54" t="s">
        <v>5</v>
      </c>
      <c r="J171" s="54" t="s">
        <v>4</v>
      </c>
      <c r="K171" s="54" t="s">
        <v>6</v>
      </c>
      <c r="L171" s="55" t="s">
        <v>6</v>
      </c>
      <c r="M171" s="56" t="s">
        <v>1</v>
      </c>
      <c r="N171" s="57" t="s">
        <v>6</v>
      </c>
      <c r="O171" s="142"/>
      <c r="P171" s="142"/>
      <c r="Q171" s="142"/>
      <c r="R171" s="143"/>
      <c r="S171" s="110">
        <f>S172+S173+S174+S175+S176+S177</f>
        <v>104196.70000000001</v>
      </c>
      <c r="T171" s="110">
        <f>T172+T173+T174+T175+T176+T177</f>
        <v>6147</v>
      </c>
      <c r="U171" s="110">
        <f>SUM(S171:T171)</f>
        <v>110343.70000000001</v>
      </c>
      <c r="V171" s="110">
        <f>V172+V173+V174+V175+V176+V177+V178</f>
        <v>25254.3</v>
      </c>
      <c r="W171" s="110">
        <f>SUM(U171:V171)</f>
        <v>135598</v>
      </c>
      <c r="X171" s="75"/>
      <c r="Y171" s="21"/>
    </row>
    <row r="172" spans="1:25" ht="57.75" hidden="1" customHeight="1" outlineLevel="1" x14ac:dyDescent="0.2">
      <c r="A172" s="114"/>
      <c r="B172" s="7"/>
      <c r="C172" s="67"/>
      <c r="D172" s="144" t="s">
        <v>345</v>
      </c>
      <c r="E172" s="139"/>
      <c r="F172" s="139"/>
      <c r="G172" s="139"/>
      <c r="H172" s="41" t="s">
        <v>20</v>
      </c>
      <c r="I172" s="42" t="s">
        <v>5</v>
      </c>
      <c r="J172" s="42" t="s">
        <v>4</v>
      </c>
      <c r="K172" s="42" t="s">
        <v>19</v>
      </c>
      <c r="L172" s="43" t="s">
        <v>6</v>
      </c>
      <c r="M172" s="44" t="s">
        <v>18</v>
      </c>
      <c r="N172" s="6" t="s">
        <v>6</v>
      </c>
      <c r="O172" s="137"/>
      <c r="P172" s="137"/>
      <c r="Q172" s="137"/>
      <c r="R172" s="138"/>
      <c r="S172" s="109">
        <v>20383.900000000001</v>
      </c>
      <c r="T172" s="109">
        <v>147</v>
      </c>
      <c r="U172" s="109">
        <f t="shared" si="11"/>
        <v>20530.900000000001</v>
      </c>
      <c r="V172" s="109">
        <f>49.4+1083.3</f>
        <v>1132.7</v>
      </c>
      <c r="W172" s="109">
        <f t="shared" ref="W172" si="16">SUM(U172:V172)</f>
        <v>21663.600000000002</v>
      </c>
      <c r="X172" s="66" t="s">
        <v>493</v>
      </c>
      <c r="Y172" s="21"/>
    </row>
    <row r="173" spans="1:25" ht="12.75" hidden="1" customHeight="1" outlineLevel="1" x14ac:dyDescent="0.2">
      <c r="A173" s="114"/>
      <c r="B173" s="7"/>
      <c r="C173" s="67"/>
      <c r="D173" s="144" t="s">
        <v>346</v>
      </c>
      <c r="E173" s="139"/>
      <c r="F173" s="139"/>
      <c r="G173" s="139"/>
      <c r="H173" s="41" t="s">
        <v>17</v>
      </c>
      <c r="I173" s="42" t="s">
        <v>5</v>
      </c>
      <c r="J173" s="42" t="s">
        <v>4</v>
      </c>
      <c r="K173" s="42" t="s">
        <v>16</v>
      </c>
      <c r="L173" s="43" t="s">
        <v>6</v>
      </c>
      <c r="M173" s="44" t="s">
        <v>15</v>
      </c>
      <c r="N173" s="6" t="s">
        <v>6</v>
      </c>
      <c r="O173" s="137"/>
      <c r="P173" s="137"/>
      <c r="Q173" s="137"/>
      <c r="R173" s="138"/>
      <c r="S173" s="109">
        <v>12075</v>
      </c>
      <c r="T173" s="109"/>
      <c r="U173" s="109">
        <f t="shared" si="11"/>
        <v>12075</v>
      </c>
      <c r="V173" s="109"/>
      <c r="W173" s="109">
        <f t="shared" si="12"/>
        <v>12075</v>
      </c>
      <c r="X173" s="66"/>
      <c r="Y173" s="21"/>
    </row>
    <row r="174" spans="1:25" ht="12.75" hidden="1" customHeight="1" outlineLevel="1" x14ac:dyDescent="0.2">
      <c r="A174" s="114"/>
      <c r="B174" s="7"/>
      <c r="C174" s="67"/>
      <c r="D174" s="144" t="s">
        <v>349</v>
      </c>
      <c r="E174" s="139"/>
      <c r="F174" s="139"/>
      <c r="G174" s="139"/>
      <c r="H174" s="41" t="s">
        <v>13</v>
      </c>
      <c r="I174" s="42" t="s">
        <v>5</v>
      </c>
      <c r="J174" s="42" t="s">
        <v>4</v>
      </c>
      <c r="K174" s="42" t="s">
        <v>14</v>
      </c>
      <c r="L174" s="43" t="s">
        <v>6</v>
      </c>
      <c r="M174" s="44" t="s">
        <v>13</v>
      </c>
      <c r="N174" s="6" t="s">
        <v>6</v>
      </c>
      <c r="O174" s="137"/>
      <c r="P174" s="137"/>
      <c r="Q174" s="137"/>
      <c r="R174" s="138"/>
      <c r="S174" s="109">
        <v>2000</v>
      </c>
      <c r="T174" s="109"/>
      <c r="U174" s="109">
        <f t="shared" si="11"/>
        <v>2000</v>
      </c>
      <c r="V174" s="109"/>
      <c r="W174" s="109">
        <f t="shared" si="12"/>
        <v>2000</v>
      </c>
      <c r="X174" s="66"/>
      <c r="Y174" s="21"/>
    </row>
    <row r="175" spans="1:25" ht="140.25" hidden="1" customHeight="1" outlineLevel="1" x14ac:dyDescent="0.2">
      <c r="A175" s="114"/>
      <c r="B175" s="7"/>
      <c r="C175" s="67"/>
      <c r="D175" s="144" t="s">
        <v>347</v>
      </c>
      <c r="E175" s="139"/>
      <c r="F175" s="139"/>
      <c r="G175" s="139"/>
      <c r="H175" s="41" t="s">
        <v>12</v>
      </c>
      <c r="I175" s="42" t="s">
        <v>5</v>
      </c>
      <c r="J175" s="42" t="s">
        <v>4</v>
      </c>
      <c r="K175" s="42" t="s">
        <v>11</v>
      </c>
      <c r="L175" s="43" t="s">
        <v>6</v>
      </c>
      <c r="M175" s="44" t="s">
        <v>10</v>
      </c>
      <c r="N175" s="6" t="s">
        <v>6</v>
      </c>
      <c r="O175" s="137"/>
      <c r="P175" s="137"/>
      <c r="Q175" s="137"/>
      <c r="R175" s="138"/>
      <c r="S175" s="109">
        <v>8967.5</v>
      </c>
      <c r="T175" s="109">
        <v>6000</v>
      </c>
      <c r="U175" s="109">
        <f t="shared" si="11"/>
        <v>14967.5</v>
      </c>
      <c r="V175" s="109">
        <v>4699.2</v>
      </c>
      <c r="W175" s="109">
        <f t="shared" si="12"/>
        <v>19666.7</v>
      </c>
      <c r="X175" s="66" t="s">
        <v>487</v>
      </c>
      <c r="Y175" s="21"/>
    </row>
    <row r="176" spans="1:25" ht="135" hidden="1" customHeight="1" outlineLevel="1" x14ac:dyDescent="0.2">
      <c r="A176" s="114"/>
      <c r="B176" s="7"/>
      <c r="C176" s="67"/>
      <c r="D176" s="144" t="s">
        <v>334</v>
      </c>
      <c r="E176" s="139"/>
      <c r="F176" s="139"/>
      <c r="G176" s="139"/>
      <c r="H176" s="41" t="s">
        <v>9</v>
      </c>
      <c r="I176" s="42" t="s">
        <v>5</v>
      </c>
      <c r="J176" s="42" t="s">
        <v>4</v>
      </c>
      <c r="K176" s="42" t="s">
        <v>8</v>
      </c>
      <c r="L176" s="43" t="s">
        <v>6</v>
      </c>
      <c r="M176" s="44" t="s">
        <v>7</v>
      </c>
      <c r="N176" s="6" t="s">
        <v>6</v>
      </c>
      <c r="O176" s="137"/>
      <c r="P176" s="137"/>
      <c r="Q176" s="137"/>
      <c r="R176" s="138"/>
      <c r="S176" s="109">
        <v>60770.3</v>
      </c>
      <c r="T176" s="109"/>
      <c r="U176" s="109">
        <f t="shared" si="11"/>
        <v>60770.3</v>
      </c>
      <c r="V176" s="109">
        <f>9932-25.8+25.8+8786.6</f>
        <v>18718.599999999999</v>
      </c>
      <c r="W176" s="108">
        <f t="shared" si="12"/>
        <v>79488.899999999994</v>
      </c>
      <c r="X176" s="120" t="s">
        <v>477</v>
      </c>
      <c r="Y176" s="21"/>
    </row>
    <row r="177" spans="1:25" ht="23.25" hidden="1" customHeight="1" outlineLevel="1" x14ac:dyDescent="0.2">
      <c r="A177" s="114"/>
      <c r="B177" s="7"/>
      <c r="C177" s="67"/>
      <c r="D177" s="144" t="s">
        <v>348</v>
      </c>
      <c r="E177" s="139"/>
      <c r="F177" s="139"/>
      <c r="G177" s="139"/>
      <c r="H177" s="85" t="s">
        <v>1</v>
      </c>
      <c r="I177" s="43" t="s">
        <v>5</v>
      </c>
      <c r="J177" s="43" t="s">
        <v>4</v>
      </c>
      <c r="K177" s="43" t="s">
        <v>3</v>
      </c>
      <c r="L177" s="43" t="s">
        <v>6</v>
      </c>
      <c r="M177" s="86" t="s">
        <v>1</v>
      </c>
      <c r="N177" s="87" t="s">
        <v>6</v>
      </c>
      <c r="O177" s="137"/>
      <c r="P177" s="137"/>
      <c r="Q177" s="137"/>
      <c r="R177" s="137"/>
      <c r="S177" s="108">
        <v>0</v>
      </c>
      <c r="T177" s="108"/>
      <c r="U177" s="108">
        <f t="shared" si="11"/>
        <v>0</v>
      </c>
      <c r="V177" s="108"/>
      <c r="W177" s="108">
        <f t="shared" si="12"/>
        <v>0</v>
      </c>
      <c r="X177" s="66"/>
      <c r="Y177" s="21"/>
    </row>
    <row r="178" spans="1:25" ht="62.25" hidden="1" customHeight="1" outlineLevel="1" thickBot="1" x14ac:dyDescent="0.25">
      <c r="A178" s="114"/>
      <c r="B178" s="83"/>
      <c r="C178" s="84"/>
      <c r="D178" s="194" t="s">
        <v>366</v>
      </c>
      <c r="E178" s="195"/>
      <c r="F178" s="195"/>
      <c r="G178" s="195"/>
      <c r="H178" s="88"/>
      <c r="I178" s="45" t="s">
        <v>5</v>
      </c>
      <c r="J178" s="45" t="s">
        <v>4</v>
      </c>
      <c r="K178" s="45" t="s">
        <v>367</v>
      </c>
      <c r="L178" s="45"/>
      <c r="M178" s="89"/>
      <c r="N178" s="90"/>
      <c r="O178" s="82"/>
      <c r="P178" s="82"/>
      <c r="Q178" s="82"/>
      <c r="R178" s="82"/>
      <c r="S178" s="82"/>
      <c r="T178" s="82"/>
      <c r="U178" s="82">
        <v>0</v>
      </c>
      <c r="V178" s="82">
        <f>704.6-0.8</f>
        <v>703.80000000000007</v>
      </c>
      <c r="W178" s="82">
        <f t="shared" si="12"/>
        <v>703.80000000000007</v>
      </c>
      <c r="X178" s="121" t="s">
        <v>368</v>
      </c>
      <c r="Y178" s="21"/>
    </row>
    <row r="179" spans="1:25" ht="25.5" customHeight="1" collapsed="1" thickBot="1" x14ac:dyDescent="0.25">
      <c r="A179" s="122"/>
      <c r="B179" s="123"/>
      <c r="C179" s="32"/>
      <c r="D179" s="169" t="s">
        <v>237</v>
      </c>
      <c r="E179" s="170"/>
      <c r="F179" s="170"/>
      <c r="G179" s="170"/>
      <c r="H179" s="170"/>
      <c r="I179" s="170"/>
      <c r="J179" s="170"/>
      <c r="K179" s="171"/>
      <c r="L179" s="33" t="s">
        <v>2</v>
      </c>
      <c r="M179" s="33" t="s">
        <v>1</v>
      </c>
      <c r="N179" s="33" t="s">
        <v>0</v>
      </c>
      <c r="O179" s="34">
        <v>0</v>
      </c>
      <c r="P179" s="34">
        <v>0</v>
      </c>
      <c r="Q179" s="34">
        <v>0</v>
      </c>
      <c r="R179" s="34">
        <v>0</v>
      </c>
      <c r="S179" s="47">
        <f>S8+S16+S21+S25+S33+S38+S50+S52+S54+S63+S67+S79+S84+S92+S107+S109+S111+S119+S130+S152+S154+S164+S171</f>
        <v>4489680.1000000006</v>
      </c>
      <c r="T179" s="69">
        <f>T8+T16+T21+T25+T33+T38+T50+T52+T54+T63+T67+T79+T84+T92+T107+T109+T111+T119+T130+T152+T154+T164+T171</f>
        <v>189291.7</v>
      </c>
      <c r="U179" s="47">
        <f>U8+U16+U21+U25+U33+U38+U50+U52+U54+U63+U67+U79+U84+U92+U107+U109+U111+U119+U130+U152+U154+U164+U171</f>
        <v>4678971.8000000007</v>
      </c>
      <c r="V179" s="69">
        <f>V8+V16+V21+V25+V33+V38+V50+V52+V54+V63+V67+V79+V84+V92+V107+V109+V111+V119+V130+V152+V154+V164+V171</f>
        <v>559412.9</v>
      </c>
      <c r="W179" s="47">
        <f>W8+W16+W21+W25+W33+W38+W50+W52+W54+W63+W67+W79+W84+W92+W107+W109+W111+W119+W130+W152+W154+W164+W171</f>
        <v>5238384.6999999993</v>
      </c>
      <c r="X179" s="35"/>
      <c r="Y179" s="21"/>
    </row>
    <row r="180" spans="1:25" ht="12.75" hidden="1" customHeight="1" x14ac:dyDescent="0.2">
      <c r="A180" s="3"/>
      <c r="B180" s="72"/>
      <c r="C180" s="72"/>
      <c r="D180" s="72"/>
      <c r="E180" s="72" t="s">
        <v>355</v>
      </c>
      <c r="F180" s="72"/>
      <c r="G180" s="72"/>
      <c r="H180" s="72"/>
      <c r="I180" s="72"/>
      <c r="J180" s="72"/>
      <c r="K180" s="72"/>
      <c r="L180" s="21"/>
      <c r="M180" s="21"/>
      <c r="N180" s="21"/>
      <c r="O180" s="21"/>
      <c r="P180" s="21"/>
      <c r="Q180" s="21"/>
      <c r="R180" s="21"/>
      <c r="S180" s="21"/>
      <c r="T180" s="71">
        <v>189291.7</v>
      </c>
      <c r="U180" s="71">
        <v>4678971.8</v>
      </c>
      <c r="V180" s="71"/>
      <c r="W180" s="71"/>
      <c r="X180" s="2"/>
      <c r="Y180" s="2"/>
    </row>
    <row r="181" spans="1:25" x14ac:dyDescent="0.2">
      <c r="K181" s="64"/>
      <c r="S181" s="5"/>
    </row>
  </sheetData>
  <mergeCells count="353">
    <mergeCell ref="I131:I133"/>
    <mergeCell ref="J131:J133"/>
    <mergeCell ref="K131:K133"/>
    <mergeCell ref="X131:X133"/>
    <mergeCell ref="C131:G133"/>
    <mergeCell ref="V131:V133"/>
    <mergeCell ref="W131:W133"/>
    <mergeCell ref="U131:U133"/>
    <mergeCell ref="D178:G178"/>
    <mergeCell ref="U4:U6"/>
    <mergeCell ref="X4:X6"/>
    <mergeCell ref="C8:G8"/>
    <mergeCell ref="C16:G16"/>
    <mergeCell ref="C21:G21"/>
    <mergeCell ref="D14:G14"/>
    <mergeCell ref="O21:R21"/>
    <mergeCell ref="D19:G19"/>
    <mergeCell ref="O19:R19"/>
    <mergeCell ref="D20:G20"/>
    <mergeCell ref="L4:L6"/>
    <mergeCell ref="O8:R8"/>
    <mergeCell ref="M4:M6"/>
    <mergeCell ref="N4:N6"/>
    <mergeCell ref="H4:H6"/>
    <mergeCell ref="O16:R16"/>
    <mergeCell ref="B4:G6"/>
    <mergeCell ref="I4:K6"/>
    <mergeCell ref="S4:S6"/>
    <mergeCell ref="O14:R14"/>
    <mergeCell ref="W4:W6"/>
    <mergeCell ref="T4:T6"/>
    <mergeCell ref="O20:R20"/>
    <mergeCell ref="C164:G164"/>
    <mergeCell ref="C119:G119"/>
    <mergeCell ref="C130:G130"/>
    <mergeCell ref="D17:G17"/>
    <mergeCell ref="D66:G66"/>
    <mergeCell ref="O66:R66"/>
    <mergeCell ref="D71:G71"/>
    <mergeCell ref="O71:R71"/>
    <mergeCell ref="D72:G72"/>
    <mergeCell ref="O72:R72"/>
    <mergeCell ref="O81:R81"/>
    <mergeCell ref="C70:G70"/>
    <mergeCell ref="O70:R70"/>
    <mergeCell ref="C73:G73"/>
    <mergeCell ref="O73:R73"/>
    <mergeCell ref="D69:G69"/>
    <mergeCell ref="D59:G59"/>
    <mergeCell ref="O59:R59"/>
    <mergeCell ref="D61:G61"/>
    <mergeCell ref="O61:R61"/>
    <mergeCell ref="D163:G163"/>
    <mergeCell ref="D126:G126"/>
    <mergeCell ref="D137:G137"/>
    <mergeCell ref="O97:R97"/>
    <mergeCell ref="C92:G92"/>
    <mergeCell ref="O75:R75"/>
    <mergeCell ref="D99:G99"/>
    <mergeCell ref="O80:R80"/>
    <mergeCell ref="D97:G97"/>
    <mergeCell ref="D140:G140"/>
    <mergeCell ref="O140:R140"/>
    <mergeCell ref="O126:R126"/>
    <mergeCell ref="D129:G129"/>
    <mergeCell ref="O129:R129"/>
    <mergeCell ref="C160:G160"/>
    <mergeCell ref="C155:G155"/>
    <mergeCell ref="D147:G147"/>
    <mergeCell ref="O147:R147"/>
    <mergeCell ref="C146:G146"/>
    <mergeCell ref="O146:R146"/>
    <mergeCell ref="O160:R160"/>
    <mergeCell ref="O150:R150"/>
    <mergeCell ref="D162:G162"/>
    <mergeCell ref="O162:R162"/>
    <mergeCell ref="D179:K179"/>
    <mergeCell ref="D153:G153"/>
    <mergeCell ref="O153:R153"/>
    <mergeCell ref="C154:G154"/>
    <mergeCell ref="C141:G141"/>
    <mergeCell ref="O141:R141"/>
    <mergeCell ref="O143:R143"/>
    <mergeCell ref="C152:G152"/>
    <mergeCell ref="C168:G168"/>
    <mergeCell ref="O168:R168"/>
    <mergeCell ref="D148:G148"/>
    <mergeCell ref="O148:R148"/>
    <mergeCell ref="D149:G149"/>
    <mergeCell ref="O149:R149"/>
    <mergeCell ref="D159:G159"/>
    <mergeCell ref="O159:R159"/>
    <mergeCell ref="D170:G170"/>
    <mergeCell ref="O176:R176"/>
    <mergeCell ref="O170:R170"/>
    <mergeCell ref="O163:R163"/>
    <mergeCell ref="D145:G145"/>
    <mergeCell ref="O145:R145"/>
    <mergeCell ref="D161:G161"/>
    <mergeCell ref="O161:R161"/>
    <mergeCell ref="O151:R151"/>
    <mergeCell ref="O155:R155"/>
    <mergeCell ref="C158:G158"/>
    <mergeCell ref="O139:R139"/>
    <mergeCell ref="D144:G144"/>
    <mergeCell ref="O154:R154"/>
    <mergeCell ref="C150:G150"/>
    <mergeCell ref="D142:G142"/>
    <mergeCell ref="O142:R142"/>
    <mergeCell ref="D177:G177"/>
    <mergeCell ref="O177:R177"/>
    <mergeCell ref="D176:G176"/>
    <mergeCell ref="D167:G167"/>
    <mergeCell ref="O167:R167"/>
    <mergeCell ref="D169:G169"/>
    <mergeCell ref="O169:R169"/>
    <mergeCell ref="D172:G172"/>
    <mergeCell ref="O172:R172"/>
    <mergeCell ref="D173:G173"/>
    <mergeCell ref="C171:G171"/>
    <mergeCell ref="O171:R171"/>
    <mergeCell ref="D175:G175"/>
    <mergeCell ref="D174:G174"/>
    <mergeCell ref="O174:R174"/>
    <mergeCell ref="O175:R175"/>
    <mergeCell ref="O173:R173"/>
    <mergeCell ref="C165:G165"/>
    <mergeCell ref="O165:R165"/>
    <mergeCell ref="O164:R164"/>
    <mergeCell ref="O157:R157"/>
    <mergeCell ref="D139:G139"/>
    <mergeCell ref="C111:G111"/>
    <mergeCell ref="C112:G112"/>
    <mergeCell ref="O112:R112"/>
    <mergeCell ref="D134:G134"/>
    <mergeCell ref="O134:R134"/>
    <mergeCell ref="O131:R131"/>
    <mergeCell ref="O135:R135"/>
    <mergeCell ref="O130:R130"/>
    <mergeCell ref="D135:G135"/>
    <mergeCell ref="O152:R152"/>
    <mergeCell ref="O137:R137"/>
    <mergeCell ref="D138:G138"/>
    <mergeCell ref="O138:R138"/>
    <mergeCell ref="O158:R158"/>
    <mergeCell ref="D156:G156"/>
    <mergeCell ref="O156:R156"/>
    <mergeCell ref="D157:G157"/>
    <mergeCell ref="D151:G151"/>
    <mergeCell ref="D143:G143"/>
    <mergeCell ref="D51:G51"/>
    <mergeCell ref="O51:R51"/>
    <mergeCell ref="D53:G53"/>
    <mergeCell ref="D136:G136"/>
    <mergeCell ref="O136:R136"/>
    <mergeCell ref="D102:G102"/>
    <mergeCell ref="O102:R102"/>
    <mergeCell ref="C101:G101"/>
    <mergeCell ref="D108:G108"/>
    <mergeCell ref="O108:R108"/>
    <mergeCell ref="C103:G103"/>
    <mergeCell ref="O58:R58"/>
    <mergeCell ref="O103:R103"/>
    <mergeCell ref="C105:G105"/>
    <mergeCell ref="D116:G116"/>
    <mergeCell ref="O124:R124"/>
    <mergeCell ref="D110:G110"/>
    <mergeCell ref="O110:R110"/>
    <mergeCell ref="O76:R76"/>
    <mergeCell ref="D81:G81"/>
    <mergeCell ref="D58:G58"/>
    <mergeCell ref="O93:R93"/>
    <mergeCell ref="O101:R101"/>
    <mergeCell ref="C125:G125"/>
    <mergeCell ref="D78:G78"/>
    <mergeCell ref="O78:R78"/>
    <mergeCell ref="D76:G76"/>
    <mergeCell ref="D83:G83"/>
    <mergeCell ref="O83:R83"/>
    <mergeCell ref="O36:R36"/>
    <mergeCell ref="D35:G35"/>
    <mergeCell ref="O35:R35"/>
    <mergeCell ref="D24:G24"/>
    <mergeCell ref="D40:G40"/>
    <mergeCell ref="C54:G54"/>
    <mergeCell ref="C50:G50"/>
    <mergeCell ref="C52:G52"/>
    <mergeCell ref="D41:G41"/>
    <mergeCell ref="D45:G45"/>
    <mergeCell ref="O45:R45"/>
    <mergeCell ref="D47:G47"/>
    <mergeCell ref="O47:R47"/>
    <mergeCell ref="C48:G48"/>
    <mergeCell ref="O48:R48"/>
    <mergeCell ref="D42:G42"/>
    <mergeCell ref="O42:R42"/>
    <mergeCell ref="D43:G43"/>
    <mergeCell ref="O43:R43"/>
    <mergeCell ref="O64:R64"/>
    <mergeCell ref="O67:R67"/>
    <mergeCell ref="D64:G64"/>
    <mergeCell ref="D74:G74"/>
    <mergeCell ref="O74:R74"/>
    <mergeCell ref="A100:G100"/>
    <mergeCell ref="O82:R82"/>
    <mergeCell ref="O17:R17"/>
    <mergeCell ref="O38:R38"/>
    <mergeCell ref="C38:G38"/>
    <mergeCell ref="D18:G18"/>
    <mergeCell ref="O18:R18"/>
    <mergeCell ref="D22:G22"/>
    <mergeCell ref="O22:R22"/>
    <mergeCell ref="D37:G37"/>
    <mergeCell ref="O37:R37"/>
    <mergeCell ref="O33:R33"/>
    <mergeCell ref="C28:G28"/>
    <mergeCell ref="O28:R28"/>
    <mergeCell ref="C31:G31"/>
    <mergeCell ref="C34:G34"/>
    <mergeCell ref="O34:R34"/>
    <mergeCell ref="C36:G36"/>
    <mergeCell ref="O77:R77"/>
    <mergeCell ref="O63:R63"/>
    <mergeCell ref="D75:G75"/>
    <mergeCell ref="C68:G68"/>
    <mergeCell ref="C93:G93"/>
    <mergeCell ref="C63:G63"/>
    <mergeCell ref="C67:G67"/>
    <mergeCell ref="D89:G89"/>
    <mergeCell ref="C85:G85"/>
    <mergeCell ref="O85:R85"/>
    <mergeCell ref="C88:G88"/>
    <mergeCell ref="O88:R88"/>
    <mergeCell ref="O79:R79"/>
    <mergeCell ref="O84:R84"/>
    <mergeCell ref="D80:G80"/>
    <mergeCell ref="D86:G86"/>
    <mergeCell ref="O86:R86"/>
    <mergeCell ref="C79:G79"/>
    <mergeCell ref="C84:G84"/>
    <mergeCell ref="C77:G77"/>
    <mergeCell ref="O87:R87"/>
    <mergeCell ref="D65:G65"/>
    <mergeCell ref="D82:G82"/>
    <mergeCell ref="O65:R65"/>
    <mergeCell ref="O68:R68"/>
    <mergeCell ref="C39:G39"/>
    <mergeCell ref="O39:R39"/>
    <mergeCell ref="D62:G62"/>
    <mergeCell ref="O62:R62"/>
    <mergeCell ref="O55:R55"/>
    <mergeCell ref="C60:G60"/>
    <mergeCell ref="O60:R60"/>
    <mergeCell ref="D56:G56"/>
    <mergeCell ref="O56:R56"/>
    <mergeCell ref="O44:R44"/>
    <mergeCell ref="O53:R53"/>
    <mergeCell ref="O52:R52"/>
    <mergeCell ref="D57:G57"/>
    <mergeCell ref="C55:G55"/>
    <mergeCell ref="O50:R50"/>
    <mergeCell ref="C44:G44"/>
    <mergeCell ref="O54:R54"/>
    <mergeCell ref="D46:G46"/>
    <mergeCell ref="O46:R46"/>
    <mergeCell ref="D49:G49"/>
    <mergeCell ref="O49:R49"/>
    <mergeCell ref="O57:R57"/>
    <mergeCell ref="O40:R40"/>
    <mergeCell ref="O41:R41"/>
    <mergeCell ref="D128:G128"/>
    <mergeCell ref="O128:R128"/>
    <mergeCell ref="O116:R116"/>
    <mergeCell ref="D118:G118"/>
    <mergeCell ref="O118:R118"/>
    <mergeCell ref="D122:G122"/>
    <mergeCell ref="O114:R114"/>
    <mergeCell ref="C117:G117"/>
    <mergeCell ref="O117:R117"/>
    <mergeCell ref="C127:G127"/>
    <mergeCell ref="O127:R127"/>
    <mergeCell ref="D115:G115"/>
    <mergeCell ref="O115:R115"/>
    <mergeCell ref="O122:R122"/>
    <mergeCell ref="D123:G123"/>
    <mergeCell ref="O123:R123"/>
    <mergeCell ref="D124:G124"/>
    <mergeCell ref="O119:R119"/>
    <mergeCell ref="O125:R125"/>
    <mergeCell ref="D121:G121"/>
    <mergeCell ref="O121:R121"/>
    <mergeCell ref="O94:R94"/>
    <mergeCell ref="D95:G95"/>
    <mergeCell ref="O95:R95"/>
    <mergeCell ref="D98:G98"/>
    <mergeCell ref="O98:R98"/>
    <mergeCell ref="O105:R105"/>
    <mergeCell ref="D104:G104"/>
    <mergeCell ref="C120:G120"/>
    <mergeCell ref="O120:R120"/>
    <mergeCell ref="D113:G113"/>
    <mergeCell ref="O113:R113"/>
    <mergeCell ref="D114:G114"/>
    <mergeCell ref="O109:R109"/>
    <mergeCell ref="O111:R111"/>
    <mergeCell ref="C107:G107"/>
    <mergeCell ref="C109:G109"/>
    <mergeCell ref="O99:R99"/>
    <mergeCell ref="V4:V6"/>
    <mergeCell ref="C26:G26"/>
    <mergeCell ref="O26:R26"/>
    <mergeCell ref="C33:G33"/>
    <mergeCell ref="O23:R23"/>
    <mergeCell ref="D29:G29"/>
    <mergeCell ref="O29:R29"/>
    <mergeCell ref="O25:R25"/>
    <mergeCell ref="C25:G25"/>
    <mergeCell ref="D23:G23"/>
    <mergeCell ref="D30:G30"/>
    <mergeCell ref="O30:R30"/>
    <mergeCell ref="D32:G32"/>
    <mergeCell ref="O32:R32"/>
    <mergeCell ref="O31:R31"/>
    <mergeCell ref="D27:G27"/>
    <mergeCell ref="O27:R27"/>
    <mergeCell ref="C9:G9"/>
    <mergeCell ref="O13:R13"/>
    <mergeCell ref="D10:G10"/>
    <mergeCell ref="D12:G12"/>
    <mergeCell ref="O12:R12"/>
    <mergeCell ref="D15:G15"/>
    <mergeCell ref="O15:R15"/>
    <mergeCell ref="O9:R9"/>
    <mergeCell ref="C11:G11"/>
    <mergeCell ref="O11:R11"/>
    <mergeCell ref="C13:G13"/>
    <mergeCell ref="O104:R104"/>
    <mergeCell ref="C90:G90"/>
    <mergeCell ref="O90:R90"/>
    <mergeCell ref="O10:R10"/>
    <mergeCell ref="D166:G166"/>
    <mergeCell ref="O166:R166"/>
    <mergeCell ref="O92:R92"/>
    <mergeCell ref="O107:R107"/>
    <mergeCell ref="C96:G96"/>
    <mergeCell ref="O96:R96"/>
    <mergeCell ref="D87:G87"/>
    <mergeCell ref="D91:G91"/>
    <mergeCell ref="O91:R91"/>
    <mergeCell ref="D94:G94"/>
    <mergeCell ref="O89:R89"/>
    <mergeCell ref="D106:G106"/>
    <mergeCell ref="O106:R106"/>
  </mergeCells>
  <pageMargins left="0.39370078740157483" right="0.39370078740157483" top="0.78740157480314965" bottom="0" header="0.51181102362204722" footer="0.23622047244094491"/>
  <pageSetup paperSize="9" scale="62" fitToHeight="11" orientation="landscape" verticalDpi="30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Бюджет_3</vt:lpstr>
      <vt:lpstr>Бюджет_3!Заголовки_для_печати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Сяфукова Эльвира Мягзумовна</cp:lastModifiedBy>
  <cp:lastPrinted>2020-09-21T12:12:40Z</cp:lastPrinted>
  <dcterms:created xsi:type="dcterms:W3CDTF">2020-01-24T05:18:11Z</dcterms:created>
  <dcterms:modified xsi:type="dcterms:W3CDTF">2020-09-21T12:30:26Z</dcterms:modified>
</cp:coreProperties>
</file>