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УТОЧНЕНИЕ БЮДЖЕТА\2021\2.уточнение май 2021\Уточнение май от 12.05.2021\Пояснительная записка\"/>
    </mc:Choice>
  </mc:AlternateContent>
  <bookViews>
    <workbookView xWindow="0" yWindow="0" windowWidth="18660" windowHeight="10785"/>
  </bookViews>
  <sheets>
    <sheet name="Бюджет_3" sheetId="2" r:id="rId1"/>
  </sheets>
  <definedNames>
    <definedName name="_xlnm.Print_Titles" localSheetId="0">Бюджет_3!$5:$7</definedName>
    <definedName name="_xlnm.Print_Area" localSheetId="0">Бюджет_3!$D$1:$T$187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8" i="2" l="1"/>
  <c r="Q89" i="2"/>
  <c r="Q174" i="2"/>
  <c r="Q178" i="2" l="1"/>
  <c r="Q149" i="2" l="1"/>
  <c r="Q141" i="2"/>
  <c r="Q175" i="2" l="1"/>
  <c r="Q100" i="2"/>
  <c r="Q103" i="2"/>
  <c r="Q99" i="2"/>
  <c r="Q104" i="2"/>
  <c r="Q102" i="2"/>
  <c r="Q109" i="2"/>
  <c r="Q183" i="2" l="1"/>
  <c r="Q170" i="2"/>
  <c r="Q169" i="2"/>
  <c r="Q164" i="2"/>
  <c r="Q124" i="2"/>
  <c r="Q79" i="2"/>
  <c r="Q68" i="2"/>
  <c r="P16" i="2" l="1"/>
  <c r="P15" i="2" l="1"/>
  <c r="Q161" i="2" l="1"/>
  <c r="Q123" i="2" l="1"/>
  <c r="R126" i="2"/>
  <c r="R125" i="2"/>
  <c r="P123" i="2"/>
  <c r="Q13" i="2"/>
  <c r="Q11" i="2"/>
  <c r="Q184" i="2" l="1"/>
  <c r="Q156" i="2"/>
  <c r="Q62" i="2"/>
  <c r="Q58" i="2"/>
  <c r="Q83" i="2"/>
  <c r="Q142" i="2" l="1"/>
  <c r="Q72" i="2" l="1"/>
  <c r="Q59" i="2" l="1"/>
  <c r="Q41" i="2" l="1"/>
  <c r="Q61" i="2" l="1"/>
  <c r="P61" i="2"/>
  <c r="Q65" i="2"/>
  <c r="Q64" i="2"/>
  <c r="R64" i="2"/>
  <c r="O64" i="2"/>
  <c r="R186" i="2" l="1"/>
  <c r="R185" i="2"/>
  <c r="R184" i="2"/>
  <c r="Q179" i="2"/>
  <c r="R182" i="2"/>
  <c r="R181" i="2"/>
  <c r="R180" i="2"/>
  <c r="P179" i="2"/>
  <c r="R178" i="2"/>
  <c r="R177" i="2"/>
  <c r="P176" i="2"/>
  <c r="R175" i="2"/>
  <c r="R174" i="2"/>
  <c r="Q173" i="2"/>
  <c r="P173" i="2"/>
  <c r="R171" i="2"/>
  <c r="R170" i="2"/>
  <c r="R169" i="2"/>
  <c r="Q168" i="2"/>
  <c r="P168" i="2"/>
  <c r="R167" i="2"/>
  <c r="Q166" i="2"/>
  <c r="P166" i="2"/>
  <c r="R165" i="2"/>
  <c r="R164" i="2"/>
  <c r="Q163" i="2"/>
  <c r="P163" i="2"/>
  <c r="R161" i="2"/>
  <c r="R160" i="2" s="1"/>
  <c r="Q160" i="2"/>
  <c r="P160" i="2"/>
  <c r="R159" i="2"/>
  <c r="Q158" i="2"/>
  <c r="P158" i="2"/>
  <c r="R157" i="2"/>
  <c r="R156" i="2"/>
  <c r="R155" i="2"/>
  <c r="P154" i="2"/>
  <c r="R153" i="2"/>
  <c r="R152" i="2"/>
  <c r="R151" i="2"/>
  <c r="R149" i="2"/>
  <c r="Q148" i="2"/>
  <c r="P148" i="2"/>
  <c r="R147" i="2"/>
  <c r="R146" i="2"/>
  <c r="R145" i="2"/>
  <c r="R144" i="2"/>
  <c r="R143" i="2"/>
  <c r="R142" i="2"/>
  <c r="R141" i="2"/>
  <c r="P139" i="2"/>
  <c r="R137" i="2"/>
  <c r="R136" i="2"/>
  <c r="P135" i="2"/>
  <c r="R134" i="2"/>
  <c r="Q133" i="2"/>
  <c r="P133" i="2"/>
  <c r="R132" i="2"/>
  <c r="R131" i="2"/>
  <c r="R130" i="2"/>
  <c r="R129" i="2"/>
  <c r="Q128" i="2"/>
  <c r="P128" i="2"/>
  <c r="R124" i="2"/>
  <c r="R123" i="2" s="1"/>
  <c r="R122" i="2"/>
  <c r="R121" i="2"/>
  <c r="R120" i="2"/>
  <c r="R119" i="2"/>
  <c r="Q118" i="2"/>
  <c r="Q117" i="2" s="1"/>
  <c r="P118" i="2"/>
  <c r="P117" i="2" s="1"/>
  <c r="R116" i="2"/>
  <c r="R115" i="2"/>
  <c r="Q114" i="2"/>
  <c r="P114" i="2"/>
  <c r="R113" i="2"/>
  <c r="Q112" i="2"/>
  <c r="P112" i="2"/>
  <c r="R111" i="2"/>
  <c r="R110" i="2" s="1"/>
  <c r="Q110" i="2"/>
  <c r="P110" i="2"/>
  <c r="R109" i="2"/>
  <c r="Q108" i="2"/>
  <c r="P108" i="2"/>
  <c r="R107" i="2"/>
  <c r="Q106" i="2"/>
  <c r="P106" i="2"/>
  <c r="R105" i="2"/>
  <c r="R104" i="2"/>
  <c r="R103" i="2"/>
  <c r="R102" i="2"/>
  <c r="Q101" i="2"/>
  <c r="P101" i="2"/>
  <c r="R100" i="2"/>
  <c r="R99" i="2"/>
  <c r="R98" i="2"/>
  <c r="R97" i="2"/>
  <c r="P96" i="2"/>
  <c r="R94" i="2"/>
  <c r="R93" i="2" s="1"/>
  <c r="Q93" i="2"/>
  <c r="P93" i="2"/>
  <c r="R92" i="2"/>
  <c r="Q91" i="2"/>
  <c r="P91" i="2"/>
  <c r="R90" i="2"/>
  <c r="R89" i="2"/>
  <c r="Q88" i="2"/>
  <c r="P88" i="2"/>
  <c r="R86" i="2"/>
  <c r="R85" i="2"/>
  <c r="R84" i="2"/>
  <c r="R83" i="2"/>
  <c r="P82" i="2"/>
  <c r="R81" i="2"/>
  <c r="Q80" i="2"/>
  <c r="P80" i="2"/>
  <c r="R79" i="2"/>
  <c r="R78" i="2"/>
  <c r="R77" i="2"/>
  <c r="Q76" i="2"/>
  <c r="P76" i="2"/>
  <c r="R75" i="2"/>
  <c r="R74" i="2"/>
  <c r="Q73" i="2"/>
  <c r="P73" i="2"/>
  <c r="R72" i="2"/>
  <c r="Q71" i="2"/>
  <c r="P71" i="2"/>
  <c r="R69" i="2"/>
  <c r="R68" i="2"/>
  <c r="R67" i="2"/>
  <c r="Q66" i="2"/>
  <c r="P66" i="2"/>
  <c r="R65" i="2"/>
  <c r="R63" i="2"/>
  <c r="R62" i="2"/>
  <c r="R61" i="2"/>
  <c r="R60" i="2"/>
  <c r="R59" i="2"/>
  <c r="R58" i="2"/>
  <c r="R57" i="2"/>
  <c r="Q56" i="2"/>
  <c r="P56" i="2"/>
  <c r="R54" i="2"/>
  <c r="Q53" i="2"/>
  <c r="P53" i="2"/>
  <c r="R52" i="2"/>
  <c r="Q51" i="2"/>
  <c r="P51" i="2"/>
  <c r="R50" i="2"/>
  <c r="R49" i="2" s="1"/>
  <c r="P49" i="2"/>
  <c r="R48" i="2"/>
  <c r="R47" i="2"/>
  <c r="R46" i="2"/>
  <c r="P45" i="2"/>
  <c r="R44" i="2"/>
  <c r="R43" i="2"/>
  <c r="R42" i="2"/>
  <c r="R41" i="2"/>
  <c r="P40" i="2"/>
  <c r="R38" i="2"/>
  <c r="R37" i="2" s="1"/>
  <c r="Q37" i="2"/>
  <c r="P37" i="2"/>
  <c r="R36" i="2"/>
  <c r="R35" i="2" s="1"/>
  <c r="Q35" i="2"/>
  <c r="P35" i="2"/>
  <c r="R33" i="2"/>
  <c r="R32" i="2" s="1"/>
  <c r="Q32" i="2"/>
  <c r="P32" i="2"/>
  <c r="R31" i="2"/>
  <c r="R30" i="2"/>
  <c r="Q29" i="2"/>
  <c r="P29" i="2"/>
  <c r="R28" i="2"/>
  <c r="R27" i="2" s="1"/>
  <c r="Q27" i="2"/>
  <c r="Q26" i="2" s="1"/>
  <c r="P27" i="2"/>
  <c r="R25" i="2"/>
  <c r="R24" i="2"/>
  <c r="R23" i="2"/>
  <c r="Q22" i="2"/>
  <c r="P22" i="2"/>
  <c r="R21" i="2"/>
  <c r="R20" i="2"/>
  <c r="R19" i="2"/>
  <c r="R18" i="2"/>
  <c r="Q17" i="2"/>
  <c r="P17" i="2"/>
  <c r="R16" i="2"/>
  <c r="R15" i="2"/>
  <c r="Q14" i="2"/>
  <c r="P14" i="2"/>
  <c r="R13" i="2"/>
  <c r="R12" i="2" s="1"/>
  <c r="Q12" i="2"/>
  <c r="P12" i="2"/>
  <c r="R11" i="2"/>
  <c r="R10" i="2" s="1"/>
  <c r="Q10" i="2"/>
  <c r="P10" i="2"/>
  <c r="R128" i="2" l="1"/>
  <c r="R166" i="2"/>
  <c r="R51" i="2"/>
  <c r="R76" i="2"/>
  <c r="P87" i="2"/>
  <c r="Q87" i="2"/>
  <c r="P34" i="2"/>
  <c r="R34" i="2" s="1"/>
  <c r="Q34" i="2"/>
  <c r="P95" i="2"/>
  <c r="R133" i="2"/>
  <c r="P172" i="2"/>
  <c r="P9" i="2"/>
  <c r="R29" i="2"/>
  <c r="R80" i="2"/>
  <c r="R112" i="2"/>
  <c r="R118" i="2"/>
  <c r="R158" i="2"/>
  <c r="P39" i="2"/>
  <c r="P26" i="2"/>
  <c r="R26" i="2" s="1"/>
  <c r="R173" i="2"/>
  <c r="P162" i="2"/>
  <c r="R163" i="2"/>
  <c r="R168" i="2"/>
  <c r="P70" i="2"/>
  <c r="R66" i="2"/>
  <c r="R17" i="2"/>
  <c r="R88" i="2"/>
  <c r="Q70" i="2"/>
  <c r="R70" i="2" s="1"/>
  <c r="R101" i="2"/>
  <c r="R114" i="2"/>
  <c r="R71" i="2"/>
  <c r="Q9" i="2"/>
  <c r="R56" i="2"/>
  <c r="Q55" i="2"/>
  <c r="R148" i="2"/>
  <c r="R108" i="2"/>
  <c r="R106" i="2"/>
  <c r="R91" i="2"/>
  <c r="R73" i="2"/>
  <c r="P55" i="2"/>
  <c r="R53" i="2"/>
  <c r="R40" i="2"/>
  <c r="R14" i="2"/>
  <c r="R9" i="2" s="1"/>
  <c r="R22" i="2"/>
  <c r="R117" i="2"/>
  <c r="Q49" i="2"/>
  <c r="Q82" i="2"/>
  <c r="R82" i="2" s="1"/>
  <c r="Q96" i="2"/>
  <c r="Q95" i="2" s="1"/>
  <c r="R95" i="2" s="1"/>
  <c r="P127" i="2"/>
  <c r="P138" i="2"/>
  <c r="Q139" i="2"/>
  <c r="Q154" i="2"/>
  <c r="R154" i="2" s="1"/>
  <c r="Q40" i="2"/>
  <c r="Q45" i="2"/>
  <c r="R45" i="2" s="1"/>
  <c r="Q176" i="2"/>
  <c r="R176" i="2" s="1"/>
  <c r="R183" i="2"/>
  <c r="R179" i="2" s="1"/>
  <c r="Q135" i="2"/>
  <c r="R135" i="2" s="1"/>
  <c r="Q162" i="2"/>
  <c r="N147" i="2"/>
  <c r="R87" i="2" l="1"/>
  <c r="R162" i="2"/>
  <c r="R172" i="2"/>
  <c r="Q172" i="2"/>
  <c r="R55" i="2"/>
  <c r="Q138" i="2"/>
  <c r="R138" i="2" s="1"/>
  <c r="Q127" i="2"/>
  <c r="R96" i="2"/>
  <c r="P187" i="2"/>
  <c r="Q39" i="2"/>
  <c r="R127" i="2"/>
  <c r="R139" i="2"/>
  <c r="N47" i="2"/>
  <c r="N50" i="2"/>
  <c r="R39" i="2" l="1"/>
  <c r="R187" i="2" s="1"/>
  <c r="Q187" i="2"/>
  <c r="O184" i="2"/>
  <c r="O28" i="2"/>
  <c r="N178" i="2"/>
  <c r="N69" i="2" l="1"/>
  <c r="N68" i="2"/>
  <c r="N183" i="2" l="1"/>
  <c r="N155" i="2" l="1"/>
  <c r="N28" i="2" l="1"/>
  <c r="O109" i="2" l="1"/>
  <c r="N102" i="2"/>
  <c r="N96" i="2"/>
  <c r="M96" i="2"/>
  <c r="O100" i="2"/>
  <c r="N99" i="2"/>
  <c r="O99" i="2"/>
  <c r="N98" i="2"/>
  <c r="O96" i="2" l="1"/>
  <c r="N97" i="2"/>
  <c r="N139" i="2" l="1"/>
  <c r="N160" i="2"/>
  <c r="N179" i="2"/>
  <c r="N168" i="2"/>
  <c r="N123" i="2"/>
  <c r="N110" i="2"/>
  <c r="N101" i="2"/>
  <c r="N93" i="2"/>
  <c r="N49" i="2"/>
  <c r="N40" i="2"/>
  <c r="N37" i="2"/>
  <c r="N35" i="2"/>
  <c r="N32" i="2"/>
  <c r="N27" i="2"/>
  <c r="O27" i="2"/>
  <c r="N14" i="2"/>
  <c r="N10" i="2"/>
  <c r="M10" i="2"/>
  <c r="N12" i="2"/>
  <c r="N137" i="2"/>
  <c r="N84" i="2"/>
  <c r="N83" i="2"/>
  <c r="O65" i="2"/>
  <c r="N60" i="2"/>
  <c r="N9" i="2" l="1"/>
  <c r="N146" i="2"/>
  <c r="N42" i="2" l="1"/>
  <c r="N142" i="2"/>
  <c r="M179" i="2" l="1"/>
  <c r="M176" i="2"/>
  <c r="M173" i="2"/>
  <c r="M163" i="2"/>
  <c r="M166" i="2"/>
  <c r="M168" i="2"/>
  <c r="M160" i="2"/>
  <c r="M158" i="2"/>
  <c r="M154" i="2"/>
  <c r="N148" i="2"/>
  <c r="M148" i="2"/>
  <c r="M139" i="2"/>
  <c r="M162" i="2" l="1"/>
  <c r="M172" i="2"/>
  <c r="M138" i="2"/>
  <c r="M135" i="2"/>
  <c r="M133" i="2"/>
  <c r="M128" i="2"/>
  <c r="M118" i="2"/>
  <c r="M123" i="2"/>
  <c r="M114" i="2"/>
  <c r="M112" i="2"/>
  <c r="M101" i="2"/>
  <c r="M106" i="2"/>
  <c r="M108" i="2"/>
  <c r="M110" i="2"/>
  <c r="M88" i="2"/>
  <c r="M91" i="2"/>
  <c r="M93" i="2"/>
  <c r="M82" i="2"/>
  <c r="M71" i="2"/>
  <c r="M80" i="2"/>
  <c r="M76" i="2"/>
  <c r="M73" i="2"/>
  <c r="M66" i="2"/>
  <c r="M56" i="2"/>
  <c r="N61" i="2"/>
  <c r="M61" i="2"/>
  <c r="M53" i="2"/>
  <c r="M51" i="2"/>
  <c r="M49" i="2"/>
  <c r="M45" i="2"/>
  <c r="M40" i="2"/>
  <c r="M35" i="2"/>
  <c r="M37" i="2"/>
  <c r="M32" i="2"/>
  <c r="M29" i="2"/>
  <c r="M27" i="2"/>
  <c r="M22" i="2"/>
  <c r="M17" i="2"/>
  <c r="M14" i="2"/>
  <c r="M12" i="2"/>
  <c r="O152" i="2"/>
  <c r="O30" i="2"/>
  <c r="O31" i="2"/>
  <c r="M34" i="2" l="1"/>
  <c r="M55" i="2"/>
  <c r="M39" i="2"/>
  <c r="M117" i="2"/>
  <c r="M70" i="2"/>
  <c r="M87" i="2"/>
  <c r="M9" i="2"/>
  <c r="M26" i="2"/>
  <c r="M95" i="2"/>
  <c r="M127" i="2"/>
  <c r="M187" i="2" l="1"/>
  <c r="O175" i="2"/>
  <c r="O25" i="2"/>
  <c r="O24" i="2"/>
  <c r="O116" i="2" l="1"/>
  <c r="O23" i="2"/>
  <c r="N114" i="2" l="1"/>
  <c r="N163" i="2" l="1"/>
  <c r="N76" i="2" l="1"/>
  <c r="N80" i="2"/>
  <c r="O149" i="2" l="1"/>
  <c r="O181" i="2"/>
  <c r="O182" i="2"/>
  <c r="O183" i="2"/>
  <c r="O185" i="2"/>
  <c r="O186" i="2"/>
  <c r="O180" i="2"/>
  <c r="O178" i="2"/>
  <c r="O177" i="2"/>
  <c r="O174" i="2"/>
  <c r="O170" i="2"/>
  <c r="O171" i="2"/>
  <c r="O169" i="2"/>
  <c r="O167" i="2"/>
  <c r="O165" i="2"/>
  <c r="O164" i="2"/>
  <c r="O161" i="2"/>
  <c r="O160" i="2" s="1"/>
  <c r="O159" i="2"/>
  <c r="O156" i="2"/>
  <c r="O157" i="2"/>
  <c r="O155" i="2"/>
  <c r="O151" i="2"/>
  <c r="O153" i="2"/>
  <c r="O142" i="2"/>
  <c r="O143" i="2"/>
  <c r="O144" i="2"/>
  <c r="O145" i="2"/>
  <c r="O146" i="2"/>
  <c r="O147" i="2"/>
  <c r="O141" i="2"/>
  <c r="N154" i="2"/>
  <c r="O154" i="2" s="1"/>
  <c r="O137" i="2"/>
  <c r="O136" i="2"/>
  <c r="O134" i="2"/>
  <c r="O130" i="2"/>
  <c r="O131" i="2"/>
  <c r="O132" i="2"/>
  <c r="O129" i="2"/>
  <c r="O124" i="2"/>
  <c r="O123" i="2" s="1"/>
  <c r="O120" i="2"/>
  <c r="O121" i="2"/>
  <c r="O122" i="2"/>
  <c r="O119" i="2"/>
  <c r="O115" i="2"/>
  <c r="O113" i="2"/>
  <c r="O111" i="2"/>
  <c r="O110" i="2" s="1"/>
  <c r="O107" i="2"/>
  <c r="O103" i="2"/>
  <c r="O104" i="2"/>
  <c r="O105" i="2"/>
  <c r="O102" i="2"/>
  <c r="O98" i="2"/>
  <c r="O97" i="2"/>
  <c r="O90" i="2"/>
  <c r="O89" i="2"/>
  <c r="O94" i="2"/>
  <c r="O93" i="2" s="1"/>
  <c r="O92" i="2"/>
  <c r="O84" i="2"/>
  <c r="O85" i="2"/>
  <c r="O86" i="2"/>
  <c r="O83" i="2"/>
  <c r="O81" i="2"/>
  <c r="O78" i="2"/>
  <c r="O79" i="2"/>
  <c r="O80" i="2"/>
  <c r="O77" i="2"/>
  <c r="O75" i="2"/>
  <c r="O74" i="2"/>
  <c r="O72" i="2"/>
  <c r="O68" i="2"/>
  <c r="O69" i="2"/>
  <c r="O67" i="2"/>
  <c r="O63" i="2"/>
  <c r="O62" i="2"/>
  <c r="O58" i="2"/>
  <c r="O59" i="2"/>
  <c r="O60" i="2"/>
  <c r="O57" i="2"/>
  <c r="O54" i="2"/>
  <c r="O52" i="2"/>
  <c r="O50" i="2"/>
  <c r="O49" i="2" s="1"/>
  <c r="O47" i="2"/>
  <c r="O48" i="2"/>
  <c r="O46" i="2"/>
  <c r="O42" i="2"/>
  <c r="O43" i="2"/>
  <c r="O44" i="2"/>
  <c r="O41" i="2"/>
  <c r="O38" i="2"/>
  <c r="O37" i="2" s="1"/>
  <c r="O36" i="2"/>
  <c r="O35" i="2" s="1"/>
  <c r="O33" i="2"/>
  <c r="O32" i="2" s="1"/>
  <c r="O19" i="2"/>
  <c r="O20" i="2"/>
  <c r="O21" i="2"/>
  <c r="O18" i="2"/>
  <c r="O16" i="2"/>
  <c r="O15" i="2"/>
  <c r="O13" i="2"/>
  <c r="O12" i="2" s="1"/>
  <c r="O11" i="2"/>
  <c r="O10" i="2" s="1"/>
  <c r="O179" i="2" l="1"/>
  <c r="O101" i="2"/>
  <c r="O14" i="2"/>
  <c r="O9" i="2" s="1"/>
  <c r="O168" i="2"/>
  <c r="O40" i="2"/>
  <c r="N176" i="2"/>
  <c r="O176" i="2" s="1"/>
  <c r="N173" i="2" l="1"/>
  <c r="O173" i="2" s="1"/>
  <c r="N56" i="2" l="1"/>
  <c r="O56" i="2" s="1"/>
  <c r="N55" i="2" l="1"/>
  <c r="O55" i="2" s="1"/>
  <c r="O61" i="2"/>
  <c r="N45" i="2" l="1"/>
  <c r="N39" i="2" l="1"/>
  <c r="O39" i="2" s="1"/>
  <c r="O45" i="2"/>
  <c r="N22" i="2" l="1"/>
  <c r="O22" i="2" s="1"/>
  <c r="N82" i="2" l="1"/>
  <c r="O82" i="2" s="1"/>
  <c r="N172" i="2" l="1"/>
  <c r="N166" i="2"/>
  <c r="O163" i="2"/>
  <c r="N158" i="2"/>
  <c r="O158" i="2" s="1"/>
  <c r="O148" i="2"/>
  <c r="O139" i="2"/>
  <c r="N135" i="2"/>
  <c r="O135" i="2" s="1"/>
  <c r="N133" i="2"/>
  <c r="O133" i="2" s="1"/>
  <c r="N128" i="2"/>
  <c r="O128" i="2" s="1"/>
  <c r="N118" i="2"/>
  <c r="O118" i="2" s="1"/>
  <c r="O114" i="2"/>
  <c r="N112" i="2"/>
  <c r="O112" i="2" s="1"/>
  <c r="N108" i="2"/>
  <c r="O108" i="2" s="1"/>
  <c r="N106" i="2"/>
  <c r="O106" i="2" s="1"/>
  <c r="N91" i="2"/>
  <c r="O91" i="2" s="1"/>
  <c r="N88" i="2"/>
  <c r="O88" i="2" s="1"/>
  <c r="O76" i="2"/>
  <c r="N73" i="2"/>
  <c r="O73" i="2" s="1"/>
  <c r="N71" i="2"/>
  <c r="O71" i="2" s="1"/>
  <c r="N66" i="2"/>
  <c r="O66" i="2" s="1"/>
  <c r="N53" i="2"/>
  <c r="O53" i="2" s="1"/>
  <c r="N51" i="2"/>
  <c r="O51" i="2" s="1"/>
  <c r="N29" i="2"/>
  <c r="O29" i="2" s="1"/>
  <c r="N17" i="2"/>
  <c r="O17" i="2" s="1"/>
  <c r="O166" i="2" l="1"/>
  <c r="O162" i="2" s="1"/>
  <c r="N162" i="2"/>
  <c r="N70" i="2"/>
  <c r="O70" i="2" s="1"/>
  <c r="N87" i="2"/>
  <c r="O87" i="2" s="1"/>
  <c r="N117" i="2"/>
  <c r="O117" i="2" s="1"/>
  <c r="N26" i="2"/>
  <c r="N34" i="2"/>
  <c r="O34" i="2" s="1"/>
  <c r="N127" i="2"/>
  <c r="O127" i="2" s="1"/>
  <c r="N95" i="2"/>
  <c r="O95" i="2" s="1"/>
  <c r="N138" i="2"/>
  <c r="O138" i="2" l="1"/>
  <c r="O26" i="2"/>
  <c r="N187" i="2"/>
  <c r="O172" i="2"/>
  <c r="O187" i="2" l="1"/>
</calcChain>
</file>

<file path=xl/sharedStrings.xml><?xml version="1.0" encoding="utf-8"?>
<sst xmlns="http://schemas.openxmlformats.org/spreadsheetml/2006/main" count="964" uniqueCount="436">
  <si>
    <t>4000799990</t>
  </si>
  <si>
    <t>07</t>
  </si>
  <si>
    <t>0</t>
  </si>
  <si>
    <t>40</t>
  </si>
  <si>
    <t/>
  </si>
  <si>
    <t>06</t>
  </si>
  <si>
    <t>4000600000</t>
  </si>
  <si>
    <t>05</t>
  </si>
  <si>
    <t>4000500000</t>
  </si>
  <si>
    <t>4000499990</t>
  </si>
  <si>
    <t>04</t>
  </si>
  <si>
    <t>02</t>
  </si>
  <si>
    <t>4000200000</t>
  </si>
  <si>
    <t>01</t>
  </si>
  <si>
    <t>4000100000</t>
  </si>
  <si>
    <t>4000000000</t>
  </si>
  <si>
    <t>232F255550</t>
  </si>
  <si>
    <t>F2</t>
  </si>
  <si>
    <t>2</t>
  </si>
  <si>
    <t>23</t>
  </si>
  <si>
    <t>2320100000</t>
  </si>
  <si>
    <t>2320000000</t>
  </si>
  <si>
    <t>231F255550</t>
  </si>
  <si>
    <t>1</t>
  </si>
  <si>
    <t>2300000000</t>
  </si>
  <si>
    <t>2230300590</t>
  </si>
  <si>
    <t>03</t>
  </si>
  <si>
    <t>3</t>
  </si>
  <si>
    <t>22</t>
  </si>
  <si>
    <t>2230200590</t>
  </si>
  <si>
    <t>2230100000</t>
  </si>
  <si>
    <t>2230000000</t>
  </si>
  <si>
    <t>2220100000</t>
  </si>
  <si>
    <t>2210200000</t>
  </si>
  <si>
    <t>2210100000</t>
  </si>
  <si>
    <t>2210000000</t>
  </si>
  <si>
    <t>2200000000</t>
  </si>
  <si>
    <t>21</t>
  </si>
  <si>
    <t>2100100000</t>
  </si>
  <si>
    <t>2040199990</t>
  </si>
  <si>
    <t>4</t>
  </si>
  <si>
    <t>20</t>
  </si>
  <si>
    <t>2030399990</t>
  </si>
  <si>
    <t>2030200590</t>
  </si>
  <si>
    <t>2030100000</t>
  </si>
  <si>
    <t>2030000000</t>
  </si>
  <si>
    <t>E1</t>
  </si>
  <si>
    <t>202E100000</t>
  </si>
  <si>
    <t>2020399990</t>
  </si>
  <si>
    <t>2020000000</t>
  </si>
  <si>
    <t>2010700000</t>
  </si>
  <si>
    <t>2010600590</t>
  </si>
  <si>
    <t>2010599990</t>
  </si>
  <si>
    <t>2010400000</t>
  </si>
  <si>
    <t>2010384050</t>
  </si>
  <si>
    <t>2010200000</t>
  </si>
  <si>
    <t>2010100000</t>
  </si>
  <si>
    <t>2010000000</t>
  </si>
  <si>
    <t>2000000000</t>
  </si>
  <si>
    <t>1830299990</t>
  </si>
  <si>
    <t>18</t>
  </si>
  <si>
    <t>1830199990</t>
  </si>
  <si>
    <t>1830000000</t>
  </si>
  <si>
    <t>1820100000</t>
  </si>
  <si>
    <t>1810500000</t>
  </si>
  <si>
    <t>1810399990</t>
  </si>
  <si>
    <t>1810299990</t>
  </si>
  <si>
    <t>1810199990</t>
  </si>
  <si>
    <t>1810000000</t>
  </si>
  <si>
    <t>1800000000</t>
  </si>
  <si>
    <t>1720120040</t>
  </si>
  <si>
    <t>17</t>
  </si>
  <si>
    <t>1710420050</t>
  </si>
  <si>
    <t>1710320050</t>
  </si>
  <si>
    <t>1710220060</t>
  </si>
  <si>
    <t>1710100000</t>
  </si>
  <si>
    <t>1710000000</t>
  </si>
  <si>
    <t>1700000000</t>
  </si>
  <si>
    <t>1600142110</t>
  </si>
  <si>
    <t>16</t>
  </si>
  <si>
    <t>15</t>
  </si>
  <si>
    <t>1500100000</t>
  </si>
  <si>
    <t>1450161600</t>
  </si>
  <si>
    <t>5</t>
  </si>
  <si>
    <t>14</t>
  </si>
  <si>
    <t>1440199990</t>
  </si>
  <si>
    <t>1430120020</t>
  </si>
  <si>
    <t>1420384230</t>
  </si>
  <si>
    <t>1420261600</t>
  </si>
  <si>
    <t>1420100000</t>
  </si>
  <si>
    <t>1420000000</t>
  </si>
  <si>
    <t>1410200000</t>
  </si>
  <si>
    <t>1410100000</t>
  </si>
  <si>
    <t>1410000000</t>
  </si>
  <si>
    <t>1400000000</t>
  </si>
  <si>
    <t>13</t>
  </si>
  <si>
    <t>1330100000</t>
  </si>
  <si>
    <t>1320199990</t>
  </si>
  <si>
    <t>1310299990</t>
  </si>
  <si>
    <t>1310199990</t>
  </si>
  <si>
    <t>1310000000</t>
  </si>
  <si>
    <t>1300000000</t>
  </si>
  <si>
    <t>1200399990</t>
  </si>
  <si>
    <t>12</t>
  </si>
  <si>
    <t>1200200590</t>
  </si>
  <si>
    <t>1200199990</t>
  </si>
  <si>
    <t>1200000000</t>
  </si>
  <si>
    <t>11401L1780</t>
  </si>
  <si>
    <t>11</t>
  </si>
  <si>
    <t>F3</t>
  </si>
  <si>
    <t>113F300000</t>
  </si>
  <si>
    <t>1130300000</t>
  </si>
  <si>
    <t>1130100000</t>
  </si>
  <si>
    <t>1130000000</t>
  </si>
  <si>
    <t>1120284220</t>
  </si>
  <si>
    <t>1120100000</t>
  </si>
  <si>
    <t>1120000000</t>
  </si>
  <si>
    <t>11101L4970</t>
  </si>
  <si>
    <t>1100000000</t>
  </si>
  <si>
    <t>1000399990</t>
  </si>
  <si>
    <t>10</t>
  </si>
  <si>
    <t>1000299990</t>
  </si>
  <si>
    <t>1000100000</t>
  </si>
  <si>
    <t>1000000000</t>
  </si>
  <si>
    <t>09</t>
  </si>
  <si>
    <t>0920300000</t>
  </si>
  <si>
    <t>0920100000</t>
  </si>
  <si>
    <t>0920000000</t>
  </si>
  <si>
    <t>0910500590</t>
  </si>
  <si>
    <t>0910499990</t>
  </si>
  <si>
    <t>0910299990</t>
  </si>
  <si>
    <t>0910199990</t>
  </si>
  <si>
    <t>0910000000</t>
  </si>
  <si>
    <t>0900000000</t>
  </si>
  <si>
    <t>08</t>
  </si>
  <si>
    <t>0800100000</t>
  </si>
  <si>
    <t>0700199990</t>
  </si>
  <si>
    <t>0630100590</t>
  </si>
  <si>
    <t>0620399990</t>
  </si>
  <si>
    <t>06202L4660</t>
  </si>
  <si>
    <t>0620199990</t>
  </si>
  <si>
    <t>0620000000</t>
  </si>
  <si>
    <t>061A154540</t>
  </si>
  <si>
    <t>A1</t>
  </si>
  <si>
    <t>0610300000</t>
  </si>
  <si>
    <t>0610299990</t>
  </si>
  <si>
    <t>0610100000</t>
  </si>
  <si>
    <t>0610000000</t>
  </si>
  <si>
    <t>0600000000</t>
  </si>
  <si>
    <t>0520199990</t>
  </si>
  <si>
    <t>0510100000</t>
  </si>
  <si>
    <t>0500000000</t>
  </si>
  <si>
    <t>0430199990</t>
  </si>
  <si>
    <t>0420399990</t>
  </si>
  <si>
    <t>0420299990</t>
  </si>
  <si>
    <t>0420000000</t>
  </si>
  <si>
    <t>0410100000</t>
  </si>
  <si>
    <t>0400000000</t>
  </si>
  <si>
    <t>I8</t>
  </si>
  <si>
    <t>030I800000</t>
  </si>
  <si>
    <t>I4</t>
  </si>
  <si>
    <t>030I400000</t>
  </si>
  <si>
    <t>0300000000</t>
  </si>
  <si>
    <t>0200499990</t>
  </si>
  <si>
    <t>0200399990</t>
  </si>
  <si>
    <t>0200299990</t>
  </si>
  <si>
    <t>0200100000</t>
  </si>
  <si>
    <t>0200000000</t>
  </si>
  <si>
    <t>0130299990</t>
  </si>
  <si>
    <t>0130100590</t>
  </si>
  <si>
    <t>0130000000</t>
  </si>
  <si>
    <t>0120199990</t>
  </si>
  <si>
    <t>0110199990</t>
  </si>
  <si>
    <t>0100000000</t>
  </si>
  <si>
    <t>КЦСР</t>
  </si>
  <si>
    <t>№ муниципальной программы</t>
  </si>
  <si>
    <t>Изменения сводной бюджетной росписи (+;-)                                                                   (тыс. рублей)</t>
  </si>
  <si>
    <t>Примечание</t>
  </si>
  <si>
    <t>к пояснительной записке</t>
  </si>
  <si>
    <t>подпрограмма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</si>
  <si>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Муниципальная программа "Развитие муниципального управления на 2019-2025 годы"</t>
  </si>
  <si>
    <t>Непрограммные расходы органов местного самоуправления</t>
  </si>
  <si>
    <t>Итого</t>
  </si>
  <si>
    <t>основное мероприятие "Содержание каналов связи, обеспечение информационной безопасности"</t>
  </si>
  <si>
    <t>подпрограмма "Предупреждение и ликвидация чрезвычайных ситуаций"</t>
  </si>
  <si>
    <t>основное мероприятие "Обеспечение деятельности МКУ "УГЗН"</t>
  </si>
  <si>
    <t>основное мероприятие "Обеспечение выполнения полномочий и функций МКУ "УГЗН в установленных сферах деятельности"</t>
  </si>
  <si>
    <t>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</si>
  <si>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основное мероприятие "Снижение производственного травматизма"</t>
  </si>
  <si>
    <t>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</si>
  <si>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Региональный проект "Популяризация предпринимательства"</t>
  </si>
  <si>
    <t>подпрограмма "Создание условий для реализации гражданских инициатив"</t>
  </si>
  <si>
    <t>основное мероприятие "Организация и проведение информационных мероприятий для местных СМИ"</t>
  </si>
  <si>
    <t>основное мероприятие "Содействие развитию социальной рекламы деятельности СОНКО в средствах массовой информации, а также размещению наружной социальной рекламы"</t>
  </si>
  <si>
    <t>подпрограмма "Обеспечение доступа граждан к информации о социально значимых мероприятиях города Мегиона"</t>
  </si>
  <si>
    <t>подпрограмма "Создание условий для выполнения функций, направленных на обеспечение прав и законных интересов  жителей городского округа в отдельных сферах жизнедеятельности"</t>
  </si>
  <si>
    <t>подпрограмма  "Организация бюджетного процесса в городском округе город Мегион"</t>
  </si>
  <si>
    <t>основное мероприятие "Обеспечение деятельности главных распорядителей бюджетных средств в бюджетной сфере, в сфере налогов и сборов, в сфере закупок"</t>
  </si>
  <si>
    <t>основное мероприятие "Обслуживание муниципального внутреннего долга "</t>
  </si>
  <si>
    <t>основное мероприятие "Развитие библиотечного дела"</t>
  </si>
  <si>
    <t>основное мероприятие "Развитие музейного дела"</t>
  </si>
  <si>
    <t>основное мероприятие "Укрепление материально-технической базы учреждений культуры"</t>
  </si>
  <si>
    <t>Региональный проект  "Культурная среда"</t>
  </si>
  <si>
    <t>подпрограмма "Поддержка творческих инициатив, способствующих самореализации населения"</t>
  </si>
  <si>
    <t>основное мероприятие "Поддержка одаренных детей и молодежи, развитие художественного образования"</t>
  </si>
  <si>
    <t>основное мероприятие "Развитие профессионального искусства"</t>
  </si>
  <si>
    <t>подпрограмма "Организационные, экономические механизмы развития культуры  и историко-культурного наследия"</t>
  </si>
  <si>
    <t>основное мероприятие "Реализация единой государственной политики в сфере культуры"</t>
  </si>
  <si>
    <t>основное мероприятие "Повышение  уровня профессиональной компетенции муниципальных служащих"</t>
  </si>
  <si>
    <t>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муниципального образования городской округ город Мегион"</t>
  </si>
  <si>
    <t>подпрограмма "Развитие физической культуры и массового спорта"</t>
  </si>
  <si>
    <t>основное мероприятие "Реализация Всероссийского физкультурно-спортивного комплекса "Готов к труду и обороне" (ГТО)</t>
  </si>
  <si>
    <t>основное мероприятие "Проведение муниципальных Спартакиад, физкультурно-массовых мероприятий, спортивных мероприятий, первенств и чемпионатов по видам спорта"</t>
  </si>
  <si>
    <t>основное мероприятие "Мероприятия по обеспечению комплексной безопасности и комфортных условий в муниципальных спортивных учреждениях.Ремонтные работы спортивных объектов и сооружений"</t>
  </si>
  <si>
    <t>основное мероприятие "Создание условий для удовлетворения потребности населения города в оказании услуг в сфере физической культуры и спорта"</t>
  </si>
  <si>
    <t>подпрограмма "Развитие системы подготовки спортивного резерва"</t>
  </si>
  <si>
    <t>основное мороприятие "Обеспечение участия сборных команд по видам спорта в межмуниципальных, региональных, всерросийских соревнованиях, подготовка и обеспечение спортивного резерва, участие в тренировочных мероприятиях.Проведение соревнований по видам спорта"</t>
  </si>
  <si>
    <t>основное мероприятие "Реализация мероприятий по приобретению спортивного оборудования и инвентаря"</t>
  </si>
  <si>
    <t>основное мероприятие "Обеспечение деятельности  департамента муниципальной собственности администрации города"</t>
  </si>
  <si>
    <t>основное мероприятие "Обеспечение выполнения полномочий и функций Департамента муниципальной собственности администрации города в установленных сферах деятельности"</t>
  </si>
  <si>
    <t>основное мероприятие "Капитальный ремонт, реконструкция и ремонт муниципального имущества"</t>
  </si>
  <si>
    <t>подпрограмма "Обеспечение жильем молодых семей"</t>
  </si>
  <si>
    <t>подпрограмма  "Улучшение жилищных условий отдельных категорий граждан"</t>
  </si>
  <si>
    <t>основное мероприятие "Повышение уровня благосостояния малоимущих граждан и граждан, нуждающихся в особой заботе государства"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</si>
  <si>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</si>
  <si>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основное мероприятие "Приобретение жилья, изъятие земельного участка, в целях реализации полномочий в области жилищных отношений, установленных законодательством Российской Федерации"</t>
  </si>
  <si>
    <t>основное мероприятие "Мероприятия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строительства"</t>
  </si>
  <si>
    <t>Региональный проект "Обеспечение устойчивого сокращения непригодного для проживания жилищного фонда"</t>
  </si>
  <si>
    <t>основное мероприятие "Ликвидация и расселение приспособленных для проживания строений"</t>
  </si>
  <si>
    <t>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</si>
  <si>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основное мероприятие "Обеспечение деятельности муниципальных  учреждений"</t>
  </si>
  <si>
    <t>подпрограмма "Развитие транспортной системы"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</si>
  <si>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</si>
  <si>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основное мероприятие "Обеспечение доступности и повышение качества транспортных услуг автомобильным транспортом"</t>
  </si>
  <si>
    <t>основное мероприятие " Обеспечение функционирования сети автомобильных дорог общего пользования городского округа"</t>
  </si>
  <si>
    <t>основное мероприятие "Совершенствование условий движения и организации  дорожного движения на улично-дорожной сети города"</t>
  </si>
  <si>
    <t>основное мероприятие " Реконструкция, расширение, модернизация, строительство и капитальный ремонт объектов коммунального комплекса"</t>
  </si>
  <si>
    <t>основное мероприятие "Субсидии на возмещение недополученных доходов организациям осуществляющим вывоз жидких бытовых отходов"</t>
  </si>
  <si>
    <t>основное мероприятие "Предоставление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ценам"</t>
  </si>
  <si>
    <t>основное мероприятие "Энергосбережение в бюджетной сфере"</t>
  </si>
  <si>
    <t>основное мероприятие "Капитальный ремонт, реконструкция и ремонт  муниципального жилого фонда"</t>
  </si>
  <si>
    <t>основное мероприятие "Повышение условий доступности приоритетных объектов в приоритетных сферах жизнедеятельности и других маломобильных групп населения"</t>
  </si>
  <si>
    <t>подпрограмма "Профилактика правонарушений"</t>
  </si>
  <si>
    <t>основное мероприятие "Создание условий для деятельности народных дружин"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</si>
  <si>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</si>
  <si>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основное мероприятие "Обеспечение функционирования и развития систем видеонаблюдения в сфере общественного порядка"</t>
  </si>
  <si>
    <t>основное мероприятие "Правовое просвещение и информирование в сфере профилактики правонарушений"</t>
  </si>
  <si>
    <t>подпрограмма "Профилактика незаконного оборота и потребления наркотических средств и психотропных веществ"</t>
  </si>
  <si>
    <t>основное мероприятие "Развитие профилактической антинаркотической деятельности"</t>
  </si>
  <si>
    <t>подпрограмма " 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Мегионе,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</si>
  <si>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основное мероприятие "Содействие этнокультурному развитию народов, формированию общероссийского гражданского самосознания, патриотизма и солидарности"</t>
  </si>
  <si>
    <t>основное мероприятие "Содействие развитию общественных инициатив, направленных на гармонизацию межэтнических отношений, укрепление позитивного этнического самосознания и обеспечение потребностей граждан, связанных с их этнической  принадлежностью"</t>
  </si>
  <si>
    <t>основное мероприятие " Содействие поддержке русского языка как государственного языка Российской Федерации и средства межнационального общения и языков народов России, проживающих в городе Мегионе"</t>
  </si>
  <si>
    <t>основное мероприятие " Реализация комплексной информационной кампании, направленной на укрепление общегражданской идентичности и межнационального ( межэтнического), межконфессионального и межкультурного взаимодействия"</t>
  </si>
  <si>
    <t>подпрограмма " Участие в профилактике экстремизма, а также в минимизации и (или) ликвидации последствий проявлений экстремизма"</t>
  </si>
  <si>
    <t>основное мероприятие "Профилактика экстремизма, минимизация условий для проявлений экстремизма на территории города Мегиона"</t>
  </si>
  <si>
    <t>подпрограмма "Участие в профилактике терроризма, а также в минимизации и (или) ликвидации последствий проявлений терроризма"</t>
  </si>
  <si>
    <t>основное мероприятие " Мероприятия по информационному противодействию идеологии терроризма"</t>
  </si>
  <si>
    <t>основное мероприятие "Обеспечение функций органов местного самоуправления (управление) и обеспечения деятельности департамента образования и молодежной политики администрации города"</t>
  </si>
  <si>
    <t>основное мероприятие "Развитие системы дошкольного и общего образования"</t>
  </si>
  <si>
    <t>основное мероприятие "Финансовое обеспечение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образования"</t>
  </si>
  <si>
    <t>основное мероприятие "Субсидии юридическим лицам (кроме некоммерческих организаций), индивидуальным предпринимателям, физическим лицам"</t>
  </si>
  <si>
    <t>основное мероприятие "Развитие системы, методического и информационного сопровождения традиционных, муниципальных и региональных мероприятий дошкольного и общего образования"</t>
  </si>
  <si>
    <t>основное мероприятие "Развитие и организационное обеспечение деятельности (оказание услуг в муниципальных организациях)"</t>
  </si>
  <si>
    <t>основное мероприятие "Дополнительное финансовое обеспечение мероприятий по организации питания в муниципальных образовательных организациях"</t>
  </si>
  <si>
    <t>основное мероприятие "Обеспечение комплексной безопасности образовательных организаций и организаций молодежной политики"</t>
  </si>
  <si>
    <t>основное мероприятие "Предоставление субсидий инвесторам на возмещения затрат на подготовку земельного участка, строительство и (или)  реконструкцию инженерных сетей и объектов инженерной инфраструктуры необходимых для строительства объектов образования"</t>
  </si>
  <si>
    <t>Региональный прект "Современная школа"</t>
  </si>
  <si>
    <t>подпрограмма "Развитие молодежного движения, организация отдыха, оздоровления, занятости детей, подростков и молодежи"</t>
  </si>
  <si>
    <t>основное мероприятие "Организация отдыха и оздоровления детей и молодежи"</t>
  </si>
  <si>
    <t>основное мероприятие  "Обеспечение развития молодежной политики и патриотического воспитания граждан"</t>
  </si>
  <si>
    <t>основное мероприятие "Организация мероприятий, творческой, добровольческой, трудовой, спортивной, гражданско-патриотической и профилактической направленности для детей и молодежи"</t>
  </si>
  <si>
    <t>подпрограмма "Создание условий для функционирования и обеспечения системы персонифицированного финансирования дополнительного образования детей"</t>
  </si>
  <si>
    <t>основное мероприятие "Финансирование сертификатов персонифицированного финансирования дополнительного образования детей"</t>
  </si>
  <si>
    <t>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</si>
  <si>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</si>
  <si>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основное мероприятие "Обеспечение деятельности администрации города"</t>
  </si>
  <si>
    <t>основное мероприятие "Осуществление переданных государственных полномочий"</t>
  </si>
  <si>
    <t>подпрограмма "Повышение доступности и качества предоставляемых государственных и муниципальных услуг"</t>
  </si>
  <si>
    <t>основное мероприятие "Реализация общесистемных мер по повышению доступности и качества государственных и муниципальных услуг"</t>
  </si>
  <si>
    <t>подпрограмма "Обеспечение исполнения функций и полномочий органов местного самоуправления, совершенствование учета деятельности муниципальных учреждений"</t>
  </si>
  <si>
    <t>основное мероприятие "Обеспечение деятельности органов местного самоуправления"</t>
  </si>
  <si>
    <t>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</si>
  <si>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основное мероприятие "Обеспечение централизованного учета хозяйственной деятельности муниципальных учреждений"</t>
  </si>
  <si>
    <t>подпрограмма "Благоустройство дворовых территорий"</t>
  </si>
  <si>
    <t>Региональный проект "Формирование комфортной городской среды"</t>
  </si>
  <si>
    <t>подпрограмма "Благоустройство территорий общего пользования"</t>
  </si>
  <si>
    <t>основное мероприятие "Повышение качества и комфорта территорий общего пользования"</t>
  </si>
  <si>
    <t>основное мероприятие "Обеспечение деятельности  Думы города"</t>
  </si>
  <si>
    <t>основное мероприятие "Обеспечение деятельности контрольно-счетной палаты городского округа"</t>
  </si>
  <si>
    <t>основное мероприятие "Реализация иных полномочий органов местного самоуправления"</t>
  </si>
  <si>
    <t>основное мероприятие "Реализация норм, установленных Бюджетным кодексом Российской Федерации"</t>
  </si>
  <si>
    <t>основное мероприятие "Формирование резервного фонда администрации города"</t>
  </si>
  <si>
    <t>основное мероприятие "Улучшение жилищных условий молодых семей"</t>
  </si>
  <si>
    <t>подпрограмма  "Управление муниципальным долгом"</t>
  </si>
  <si>
    <t>основное мероприятие "Совершенствование системы управления градостроительным развитием территории"</t>
  </si>
  <si>
    <t>основное мероприятие "Финансовая поддержка социально ориентированных некоммерческих организаций"</t>
  </si>
  <si>
    <t>основное мероприятие "Развитие материально-технической базы образовательных организаций и учреждений молодежной политики"</t>
  </si>
  <si>
    <t>контрольные</t>
  </si>
  <si>
    <t>Проект с учетом внесенных изменений                   (тыс. рублей)</t>
  </si>
  <si>
    <t>Региональный проект "Цифровое государственное управление"</t>
  </si>
  <si>
    <t>D6</t>
  </si>
  <si>
    <t>основное мероприятие "Предоставление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короновирусной инфекции"</t>
  </si>
  <si>
    <t>основное мероприятие "Расходы на поддержание санитарно-эпидемиологического благополучия населения"</t>
  </si>
  <si>
    <t>W0</t>
  </si>
  <si>
    <t xml:space="preserve"> </t>
  </si>
  <si>
    <t>Муниципальная программа "Развитие гражданского общества на территории города Мегиона  на 2020-2025 годы"</t>
  </si>
  <si>
    <t>Муниципальная программа "Информационное обеспечение деятельности органов местного самоуправления города Мегиона на 2019-2025 годы"</t>
  </si>
  <si>
    <t>Муниципальная программа "Укрепление межнационального и межконфессионального согласия, профилактика экстремизма и терроризма в городе Мегионе на 2019-2025 годы"</t>
  </si>
  <si>
    <t>Муниципальная программа "Развитие системы образования  и молодежной политики города Мегиона на 2019-2025 годы"</t>
  </si>
  <si>
    <t>подпрограмма "Обеспечение комплексной безопасности и комфортных условий муниципальных образовательных организаций города Мегиона"</t>
  </si>
  <si>
    <t>основное мероприятие "Обеспечение взаимодействия с политическими партиями, избирательными комиссиями, законодательными(представительными) органами государственной власти и местного самоуправления в сфере регионального развития и содействия развитию местного самоуправления в городе Мегионе, прогноза общественно-политической ситуации"</t>
  </si>
  <si>
    <t>Муниципальная программа  "Культурное пространство в городе Мегионе на 2019 -2025 годы"</t>
  </si>
  <si>
    <t>Муниципальная программа "Развитие физической культуры и спорта в городе Мегионе на 2019 -2025 годы"</t>
  </si>
  <si>
    <t>Муниципальная программа "Развитие информационного общества на территории города Мегиона на 2019-2025 годы"</t>
  </si>
  <si>
    <t>основное мероприятие "Защита информации органов местного самоуправления города Мегиона"</t>
  </si>
  <si>
    <t>основное мероприятие "Стимулирование культурного разнообразия в городе Мегионе"</t>
  </si>
  <si>
    <t>основное мероприятие "Предоставление субсидии из бюджета городского округа Мегион на финансовое обеспечение затрат юридическим лицам (за исключением муниципальных учреждений), осуществляющим свою деятельность в сфере тепло-, водоснабжения и водоотведения и оказывающих коммунальные услуги населению городского округа Мегион, связанных с погашением задолженности за потребленные топливно-энергетические ресурсы</t>
  </si>
  <si>
    <t>основное мероприятие "Повышение уровня благоустройства и комфорта дворовых территорий в условиях сложившейся застройки"</t>
  </si>
  <si>
    <t>Муниципальная программа "Развитие систем гражданской защиты населения города Мегиона на 2019-2025 годы"</t>
  </si>
  <si>
    <t>Муниципальная программа  "Улучшение условий и охраны труда в городе Мегионе на 2019-2025 годы"</t>
  </si>
  <si>
    <t>Муниципальная программа "Поддержка и развитие малого и среднего предпринимательства  на территории города Мегиона на 2019-2025 годы"</t>
  </si>
  <si>
    <t>Муниципальная программа "Управление муниципальным имуществом города Мегиона в 2019-2025 годах"</t>
  </si>
  <si>
    <t>Муниципальная программа "Развитие жилищной сферы на территории города Мегиона в 2019-2025 годах"</t>
  </si>
  <si>
    <t>Муниципальная программа "Развитие транспортной системы  города Мегиона на 2019-2025 годы"</t>
  </si>
  <si>
    <t>Муниципальная программа "Развитие жилищно-коммунального комплекса и повышение энергетической эффективности в городе Мегионе на 2019-2025 годы"</t>
  </si>
  <si>
    <t>Муниципальная программа "Мероприятия в области градостроительной деятельности  города Мегиона на 2019-2025 годы"</t>
  </si>
  <si>
    <t>Муниципальная программа "Формирование современной городской среды города Мегиона на 2019-2025 годы"</t>
  </si>
  <si>
    <t>подпрограмма "Развитие системы оповещения населения при угрозе возникновения чрезвычайных ситуаций на территории города  Мегиона"</t>
  </si>
  <si>
    <t>основное мероприятие "Совершенствование государственного управления охраной труда в городе Мегионе"</t>
  </si>
  <si>
    <t>основное мероприятие " Улучшение условий труда в  городе Мегионе"</t>
  </si>
  <si>
    <r>
      <t xml:space="preserve">Муниципальная программа "Управление муниципальными финансами в </t>
    </r>
    <r>
      <rPr>
        <b/>
        <sz val="8"/>
        <rFont val="Arial"/>
        <family val="2"/>
        <charset val="204"/>
      </rPr>
      <t>городе Мегионе на 2019-2025 годы"</t>
    </r>
  </si>
  <si>
    <t>Муниципальная программа "Развитие муниципальной службы в городе Мегионе на 2019-2025 годы"</t>
  </si>
  <si>
    <t>подпрограмма "Содействие развитию жилищного строительства на территории  города Мегиона"</t>
  </si>
  <si>
    <t>подпрограмма  "Содержание объектов внешнего благоустройства  города Мегиона"</t>
  </si>
  <si>
    <t>подпрограмма "Модернизация и реформирование жилищно-коммунального комплекса  города Мегиона"</t>
  </si>
  <si>
    <t>основное мероприятие "Муниципальная поддержка проведения капитального ремонта общего имущества в многоквартирных домах, расположенных на территории  города Мегиона"</t>
  </si>
  <si>
    <t>подпрограмма "Содействие проведению капитального ремонта многоквартирных домов на территории  города Мегиона"</t>
  </si>
  <si>
    <t>Муниципальная программа "Формирование доступной среды для инвалидов и других маломобильных групп населения на территории  города Мегиона на 2019-2025 годы"</t>
  </si>
  <si>
    <t>подпрограмма  "Адресная программа  по ликвидации и расселению строений, приспособленных для проживания, расположенных на территории  города Мегиона"</t>
  </si>
  <si>
    <t>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города Мегиона"</t>
  </si>
  <si>
    <t>подпрограмма   "Формирование законопослушного поведения участников дорожного движения, повышение безопасности дорожного движения городе Мегионе"</t>
  </si>
  <si>
    <t>подпрограмма "Энергосбережение  и повышение  энергетической эффективности и энергобезопасности муниципального образования города Мегиона"</t>
  </si>
  <si>
    <t>подпрограмма "Капитальный ремонт, реконструкция и ремонт  муниципального жилого фонда города Мегиона"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</si>
  <si>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Мегионе на 2019-2025 годы и на период до 2030 года"</t>
  </si>
  <si>
    <t>Муниципальная программа "Развитие системы обращения с отходами производства и потребления на территории города Мегиона на 2019-2025 годы"</t>
  </si>
  <si>
    <t>подпрограмма "Функционирование единой дежурно - диспетчерской службы  города Мегиона"</t>
  </si>
  <si>
    <t>Наименование муниципальной программы города Мегиона</t>
  </si>
  <si>
    <t>основное мероприятие "Обеспечение стабильной благополучной эпизоотической обстановки в городе Мегионе и защита населения от болезней, общих для человека и животных"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</si>
  <si>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подпрограмма "Развитие системы дошкольного и общего образования"</t>
  </si>
  <si>
    <t>основное мероприятие "Формирование доступности жилых помещений (в соответствии с оптимальным перечнем) и общего имущества в многоквартирном доме, в котором расположены жилые помещения для инвалидов и других маломобильных групп населения"</t>
  </si>
  <si>
    <t>основное мероприятие "Строительство (реконструкция) спортивных сооружений"</t>
  </si>
  <si>
    <t>основное мероприятие "Строительство городского кладбища"</t>
  </si>
  <si>
    <t>1410300000</t>
  </si>
  <si>
    <t>2020299990</t>
  </si>
  <si>
    <t>основное мероприятие "Подготовка образовательных организаций т организаций молодежной политики к осенне-зимнему периоду, к новому учебному году"</t>
  </si>
  <si>
    <t>Решение Думы города Мегиона от 18.12.2020 №37 (утверждённый бюджет)                                                      (тыс. рублей)</t>
  </si>
  <si>
    <t>основное мероприятие "Обеспечение выполнения требований антитеррористической защищенности объектов массового пребывания людей"</t>
  </si>
  <si>
    <t>основное мероприятие "Обеспечение единого порядка содержания объектов внешнего благоустройства "</t>
  </si>
  <si>
    <t>Инициативный проект "Создание объекта, предназначенного для содержания животных"</t>
  </si>
  <si>
    <t>Решение Думы города Мегиона от 19.02.2021 №50 (уточненный  бюджет)                                                      (тыс. рублей)</t>
  </si>
  <si>
    <t>основное мероприятие "Развитие сети спортивных объектов шаговой доступности"</t>
  </si>
  <si>
    <r>
      <t xml:space="preserve">(-) 1 037,2 тыс. рублей -  уменьшен объем бюджетных ассигнований, в связи с внесением нового основного мероприятия в муниципальную программу, в целях отражения расходов по развитию сети спортивных объектов шаговой доступности (письмо Департамента физической культуры и спорта ХМАО-Югры от 02.03.2021 №19-Исх-828) </t>
    </r>
    <r>
      <rPr>
        <sz val="8"/>
        <color rgb="FFFF0000"/>
        <rFont val="Arial"/>
        <family val="2"/>
        <charset val="204"/>
      </rPr>
      <t>(путем внутреннего перераспределения)</t>
    </r>
  </si>
  <si>
    <r>
      <t xml:space="preserve">(+) 1 037,2 тыс. рублей -  увеличен объем бюджетных ассигнований, в связи с внесением нового основного мероприятия в муниципальную программу, в целях отражения расходов по развитию сети спортивных объектов шаговой доступности (письмо Департамента физической культуры и спорта ХМАО-Югры от 02.03.2021 №19-Исх-828) </t>
    </r>
    <r>
      <rPr>
        <sz val="8"/>
        <color rgb="FFFF0000"/>
        <rFont val="Arial"/>
        <family val="2"/>
        <charset val="204"/>
      </rPr>
      <t>(путем внутреннего перераспределения)</t>
    </r>
  </si>
  <si>
    <t>(+) 933,7 тыс. рублей -  увеличен объем бюджетных ассигнований на финансирование наказов избирателей депутатам Думы Ханты-Мансийского автономного округа - Югры (средства бюджета автономного округа)</t>
  </si>
  <si>
    <t>приложение  4</t>
  </si>
  <si>
    <t>основное мероприятие "Совершенствование системы оповещения населения города"</t>
  </si>
  <si>
    <t>(+) 948,3 тыс. рублей -  увеличен объем бюджетных ассигнований на финансирование наказов избирателей депутатам Думы Ханты-Мансийского автономного округа - Югры (средства бюджета автономного округа);                                                                                             (+) 1 241,0 тыс. рублей - увеличен объем бюджетных ассигнований на модернизацию баскетбольной площадки для МАОУ СОШ №2 (расп. Правительства Тюменской обл. от 01.04.2021 №260-рп)(средства местного бюджета)</t>
  </si>
  <si>
    <t>(+) 10 564,0 тыс. рублей - увеличен объем бюджетных ассигнований на ремонт кровли основного строения МАОУ СОШ №4 (средства местного бюджета)</t>
  </si>
  <si>
    <t xml:space="preserve">(+) 148,9 тыс. рублей -  увеличен объем бюджетных ассигнований на проведение турнира по боксу и тренировочного мероприятия для МАУ "СШ "Вымпел"  (средства резервного фонда Правительства Тюменской области- расп. №94-рп от 19.02.2021)(средства местного бюджета);                                                                                                                                                                (+) 50,0 тыс. рублей -  увеличен объем бюджетных ассигнований для проведения городских первенств по видам спорта  (средства местного бюджета) (путем внутреннего перераспределения)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</si>
  <si>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(-) 960,4 тыс. рублей - уменьшен объем бюджетных ассигнований, в связи с выводом из штатного расписания ММАУ «Старт» 2,5 штатных единиц в МКУ «Служба обеспечения» для обеспечения функциональных полномочий департамента образования и молодежной политики администрации города (средства местного бюджета)</t>
  </si>
  <si>
    <t>(+) 42,43 тыс. рублей - увеличен объем бюджетных ассигнований в целях заключения муниципальных контрактов по лицензионному обслуживанию и приобретению неисключительных лицензионных прав, по техническому сопровождению программных продуктов (средства местного бюджета)</t>
  </si>
  <si>
    <t>основное мероприятие "Проведение информационной антинаркотической политики, просветительских мероприятий"</t>
  </si>
  <si>
    <t>основное мероприятие "Создание условий для деятельности субъектов профилактики наркомании"</t>
  </si>
  <si>
    <t>(-)144,6 тыс.рублей - уменьшен объем бюджетных ассигнований путем внутреннего перераспределения с целью выполнения ремонта МАУ "Экоцентр"</t>
  </si>
  <si>
    <t>(+)144,6 тыс.рублей - уменьшен объем бюджетных ассигнований путем внутреннего перераспределения с целью выполнения ремонта МАУ "Экоцентр"</t>
  </si>
  <si>
    <r>
      <t xml:space="preserve">(+) 148,9 тыс. рублей -  увеличен объем бюджетных ассигнований на проведение турнира по боксу и тренировочного мероприятия для МАУ "СШ "Вымпел"  (средства резервного фонда Правительства Тюменской области- расп. №94-рп от 19.02.2021)(средства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04"/>
      </rPr>
      <t xml:space="preserve">(+) 50,0 тыс. рублей -  увеличен объем бюджетных ассигнований для проведения городских первенств по видам спорта  (средства местного бюджета) (путем внутреннего перераспределения)             </t>
    </r>
    <r>
      <rPr>
        <sz val="8"/>
        <color rgb="FFFF0000"/>
        <rFont val="Arial"/>
        <family val="2"/>
        <charset val="204"/>
      </rPr>
      <t xml:space="preserve">                                                                 </t>
    </r>
  </si>
  <si>
    <t>(+) 250,0 тыс. рублей - увеличен объем бюджетных ассигнований для замены  4-х аккумуляторных батарей АРС SYBT5  в серверном помещении ул. Нефтяников д.8</t>
  </si>
  <si>
    <t>(+) 2 500,0 тыс. рублей -  увеличен объем бюджетных ассигнований для проведения ремонтных работ здания конно-спортивного клуба "Мустанг"(монтаж системы внутреннего электроосвещения, силового электрооборудования, монтаж системы пожарной сигнализации)(МАУ "СШ "Юность") (средства местного бюджета)</t>
  </si>
  <si>
    <t>(+) 2 500,0 тыс. рублей -  увеличен объем бюджетных ассигнований для проведения ремонтных работ здания конно-спортивного клуба "Мустанг" (монтаж системы внутреннего электроосвещения, силового электрооборудования, монтаж системы пожарной сигнализации)(МАУ "СШ "Юность")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50,0 тыс. рублей -  уменьшен объем бюджетных ассигнований для проведения городских первенств по видам спорта  (средства местного бюджета) (путем внутреннего перераспределения)</t>
  </si>
  <si>
    <t>(-) 50,0 тыс. рублей -  уменьшен объем бюджетных ассигнований для проведения городских первенств по видам спорта  (средства местного бюджета) (путем внутреннего перераспределения)</t>
  </si>
  <si>
    <t xml:space="preserve">(+) 7 069,0 тыс. рублей – увеличен объем целевых межбюджетных трансфертов на реализацию мероприятий по содействию трудоустройству граждан (средства бюджета автономного округа);                                                                                                                                                  (-) 72,7 тыс. рублей – уменьшен объем целевых межбюджетных трансфертов на  реализацию мероприятий по содействию в трудоустройстве незанятых инвалидов на оборудованные (оснащенные) для них рабочие места (средства бюджета автономного округа)              </t>
  </si>
  <si>
    <t>(+) 8 000,0 тыс.рублей - увеличен объем бюджетных ассигнований на содержание и текущий ремонт автомобильных дорог,  проездов, элементов обустройства улично-дорожной сети, объектов внешнего благоустройства (средства местного бюджета)</t>
  </si>
  <si>
    <t>(+) 6 738,5 тыс.рублей - увеличен объем бюджетных ассигнований на организацию пассажирских перевозок (средства местного бюджета)</t>
  </si>
  <si>
    <t>(+) 1 700,0 тыс.рублей - увеличен объем бюджетных ассигнований на выполнение работ по расчету нормативов накопления твердых коммунальных отходов (средства местного бюджета);                                                                                                                                              (+) 4 000,0 тыс.рублей - увеличен объем бюджетных ассигнований на ликвидацию свалок (средства местного бюджета)</t>
  </si>
  <si>
    <t>(-) 279,2 тыс. рублей - уменьшен объем бюджетных ассигнований за счет остатка дотации на поддержку мер по обеспечению сбалансированности бюджета городских округов и муниципальных районов Ханты-Мансийского автономного округа – Югры  на финансовое обеспечение мероприятий по профилактике и устранению последствий распространения новой коронавирусной инфекци, в связи со свертыванием обсерватора (средства местного бюджета)</t>
  </si>
  <si>
    <t>(-) 112,9 тыс.рублей - уменьшен объем бюджетных ассигнований путем перераспределения в целях приобретения нового транкового шлюза для обеспечения работоспособности ЕДДС (средства местного бюджета)</t>
  </si>
  <si>
    <t>(-) 2,2 тыс.рублей - уменьшен объем бюджетных ассигнований путем перераспределения в целях приобретения нового транкового шлюза для обеспечения работоспособности ЕДДС (средствав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350,0 тыс.рублей - увеличен объем бюджетных ассигнований на техническое обслуживание автоматизированной системы централизованного оповещения (средства местного бюджета)</t>
  </si>
  <si>
    <t>(+) 115,1 тыс.рублей - увеличен объем бюджетных ассигнований в целях  приобретения нового транкового шлюза для обеспечения работоспособности ЕДДС (средствав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165,5 тыс.рублей - увеличен объем бюджетных ассигнований на техническое обслуживание и сопровождение специализированного программного обеспечения "Исток-СМ" (средства местного бюджета)</t>
  </si>
  <si>
    <t>(-) 112,9 тыс.рублей - уменьшен объем бюджетных ассигнований путем перераспределения в целях приобретения нового транкового шлюза для обеспечения работоспособности ЕДДС (средства местного бюджета);                                                                                        (-) 279,2 тыс. рублей - уменьшен объем бюджетных ассигнований за счет остатка дотации на поддержку мер по обеспечению сбалансированности бюджета городских округов и муниципальных районов Ханты-Мансийского автономного округа – Югры  на финансовое обеспечение мероприятий по профилактике и устранению последствий распространения новой коронавирусной инфекции, в связи со свертыванием обсерватора (средства местного бюджета)</t>
  </si>
  <si>
    <t>(-) 0,05 тыс. рублей - уменьшен объем бюджетных ассигнований в целях приобретения подарочная продукций для проведения конкурса "Охрана труда глазами детей" (средства местного бюджета)</t>
  </si>
  <si>
    <t>(+) 0,05 тыс. рублей - уменьшен объем бюджетных ассигнований путем внутреннего перераспределения в целях приобретения подарочной продукции для проведения конкурса "Охрана труда глазами детей" (средства местного бюджета)</t>
  </si>
  <si>
    <t>(-) 22,6 тыс. рублей - уменьшен объем бюджетных ассигнований по содержанию здания спортивного комплекса "Геолог" , в целях соблюдения доли софинансирования при реализации мероприятий по обеспечению жильем молодых семей ( 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875,6 тыс. рублей - уменьшен объем бюджетных ассигнований с коммунальных расходов по квартирам, находящимся в муниципальной собственности, в связи с поступлением исполнительного листа по заявлению ООО «Жилищно-эксплуатационная компания» о взыскании с администрации задолженности за оказанные услуги и судебные расходы (средства местного бюджета);                                                                                                                                                                             (+) 1 200,0 тыс. рублей - увеличен объем бюджетных ассигнований на экспертизу жилых помещений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(+) 4 499,6 тыс. рублей - увеличен объем бюджетных ассигнований на паспортизацию объектов инженерных сетей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(+) 1 741,4 тыс. рублей - увеличен объем бюджетных ассигнований на уплату земельного налога за 2021 год (средства местного бюджета)</t>
  </si>
  <si>
    <t>(+) 1 000,0 тыс. рублей - увеличен объем бюджетных ассигнований на ремонт помещений административного здания по ул.Садовая, 7 (средства местного бюджета)</t>
  </si>
  <si>
    <t>(+) 13 609,5 тыс. рублей -  увеличен объем бюджетных ассигнований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бюджета автономного округа)</t>
  </si>
  <si>
    <t xml:space="preserve">(-) 25,0 тыс. рублей - уменьшен объем бюджетных ассигнований путем внутреннего перераспределения, в целях обеспечения доли софинансирования при реализации мероприятий по обеспечению жильем молодых семей (средства местного бюджета)                                                                               </t>
  </si>
  <si>
    <t>(-) 157 315,4 тыс. рублей - уменьшен объем бюджетных ассигнований на реализацию регионального проекта  "Обеспечение устойчивого сокращения непригодного для проживания жилищного фонда" (средства Фонда содействию реформированию ЖКХ);                                                                                                                                                                                                                                               (+) 228 088,3 тыс. рублей - увеличен объем бюджетных ассигнований на реализацию регионального проекта  "Обеспечение устойчивого сокращения непригодного для проживания жилищного фонда" (в том числе: 223 134,2 тыс. рублей - средства бюджета автономного округа, 4 954,1 тыс. рублей - средства местного бюджета)</t>
  </si>
  <si>
    <t>(-) 25,0 тыс. рублей - уменьшен объем бюджетных ассигнований путем внутреннего перераспределения, в целях обеспечения доли софинансирования при реализации мероприятий по обеспечению жильем молодых семей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(-) 157 315,4 тыс. рублей - уменьшен объем бюджетных ассигнований на реализацию регионального проекта  "Обеспечение устойчивого сокращения непригодного для проживания жилищного фонда" (средства Фонда содействию реформированию ЖКХ);                                                                                                                                                                                                                                               (+) 228 088,3 тыс. рублей - увеличен объем бюджетных ассигнований на реализацию регионального проекта  "Обеспечение устойчивого сокращения непригодного для проживания жилищного фонда" (в том числе: 223 134,2 тыс. рублей - средства бюджета автономного округа, 4 954,1 тыс. рублей - средства местного бюджета)</t>
  </si>
  <si>
    <t xml:space="preserve">(+) 47,6 тыс.рублей - увеличен объем бюджетных ассигнований путем внутреннего перераспределения, в целях обеспечения доли софинансирования при реализации мероприятий по обеспечению жильем молодых семей ( 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</si>
  <si>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(-) 305,5 тыс.рублей - уменьшен объем бюджетных ассигнований на выполнение работ по объекту «Устройство диагонального подъемника для обеспечения доступности маломобильных групп населения по адресам ул. Садовая 14, ул. Заречная 14 в г.Мегион» (средства местного бюджета)</t>
  </si>
  <si>
    <t>(+) 305,5 тыс.рублей - увеличен объем бюджетных ассигнований на выполнение работ по объекту «Устройство диагонального подъемника для обеспечения доступности маломобильных групп населения по адресам ул. Садовая 14, ул. Заречная 14 в г.Мегион» (средства местного бюджета)</t>
  </si>
  <si>
    <t>(+) 0,4 тыс. рублей - увеличен объем бюджетных ассигнований путем внутреннего перераспределния в целях осуществления возврата средств на основании Требований Департамента внутренней политики ХМАО- Югры от 01.03.2021 №02-Исх-785 «О возврате из местного бюджета в бюджет ХМАО-Югры объема средств Субсидии» (средства местного бюджета)</t>
  </si>
  <si>
    <t>(-) 0,4 тыс. рублей - увеличен объем бюджетных ассигнований в целях осуществления возврата средств на основании Требований Департамента внутренней политики ХМАО- Югры от 01.03.2021 №02-Исх-785 «О возврате из местного бюджета в бюджет ХМАО-Югры объема средств Субсидии»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259,6 тыс.рублей - уменьшен объем бюджетных ассигнований путем внутреннего перераспределния в целях уточнения кодов бюджетной классификации в соответствии с внесенными изменениями в  муниципальную программу (средства местного бюджета)</t>
  </si>
  <si>
    <t>(+) 100,0 тыс.рублей - увеличен объем бюджетных ассигнований для уточнения кодов бюджетной классификации в соответствии с внесенными изменениями в муниципальную программу (средства местного бюджета)</t>
  </si>
  <si>
    <t>(+) 159,6 тыс.рублей - увеличен объем бюджетных ассигнований для уточнения кодов бюджетной классификации в соответствии с внесенными изменениями в муниципальную программу (средства местного бюджета)</t>
  </si>
  <si>
    <t>(-) 0,4 тыс. рублей - увеличен объем бюджетных ассигнований в целях осуществления возврата средств на основании Требований Департамента внутренней политики ХМАО- Югры от 01.03.2021 №02-Исх-785 «О возврате из местного бюджета в бюджет ХМАО-Югры объема средств Субсидии» (средства местного бюджета)</t>
  </si>
  <si>
    <t>(-) 2 880,4 тыс. рублей - уменьшен объем бюджетных ассигнований путем внутреннего перераспределения, в целях осуществления оплаты труда за исполнение обязанностей заместителя главы города по социальной политике (средства местного бюджета);                                                                                                                                                                                                     (+) 22,4 тыс. рублей - увеличен объем бюджетных ассигнований в целях заключения муниципальных контрактов на оказание  услуг по лицензионному обслуживанию и приобретению неисключительных лицензионных прав (средства местного бюджета)</t>
  </si>
  <si>
    <t>(-) 600,0 тыс. рублей - уменьшен объем бюджетных ассигнований по обеспечению деятельности муниципального казенного учреждения "МФЦ" (выплаты выходного пособия при сокращении) (средства местного бюджета)</t>
  </si>
  <si>
    <t>(+) 279,2 тыс. рублей - увеличен объем бюджетных ассигнований за счет остатка дотации на поддержку мер по обеспечению сбалансированности бюджета городских округов и муниципальных районов Ханты-Мансийского автономного округа – Югры  на финансовое обеспечение мероприятий по профилактике и устранению последствий распространения новой коронавирусной инфекции (средства местного бюджета);                                                                                                                                          (+) 895,6 тыс. рублей - увеличен объем бюджетных ассигнований по обеспечению деятельности муниципального казенного учреждения "Служба обеспечения", в связи с передачей 2,5 штатных единиц на организацию летнего отдыха (средства местного бюджета)</t>
  </si>
  <si>
    <t>(+) 460,4 тыс. рублей - увеличен объем бюджетных ассигнований путем внутреннего перераспределения, в целях оплаты административного штрафа (средства местного бюджета)</t>
  </si>
  <si>
    <t>(-) 400,0 тыс. рублей - уменьшен объем бюджетных ассигнований по обеспечению деятельности муниципального казенного учреждения "Централизованная бухгалтерия" (выплаты выходного пособия при сокращении) (средства местного бюджета)</t>
  </si>
  <si>
    <t>(+) 279,2 тыс. рублей - увеличен объем бюджетных ассигнований за счет остатка дотации на поддержку мер по обеспечению сбалансированности бюджета городских округов и муниципальных районов Ханты-Мансийского автономного округа – Югры  на финансовое обеспечение мероприятий по профилактике и устранению последствий распространения новой коронавирусной инфекции (средства местного бюджета);                                                                                                                                                                                       (+) 895,6 тыс. рублей - увеличен объем бюджетных ассигнований по обеспечению деятельности муниципального казенного учреждения "Служба обеспечения", в связи с передачей 2,5 штатных единиц на организацию летнего отдыха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(+) 460,4 тыс. рублей - увеличен объем бюджетных ассигнований путем внутреннего перераспределения, в целях оплаты административного штрафа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(-) 400,0 тыс. рублей - уменьшен объем бюджетных ассигнований по обеспечению деятельности муниципального казенного учреждения "Централизованная бухгалтерия" (выплаты выходного пособия при сокращении) (средства местного бюджета)</t>
  </si>
  <si>
    <t>(+) 875,6 тыс. рублей - увеличен объем бюджетных ассигнований путем внутреннего перераспределения, в целях оплаты  исполнительного листа по заявлению ООО «Жилищно-эксплуатационная компания» о взыскании с администрации задолженности за оказанные услуги и судебные расходы (средства местного бюджета);                                                                                                                        (+) 6 930,0 тыс. рублей - увеличен объем бюджетных ассигнований в целях оплаты задолженности по коммунальным услугам МУП ТВК в соответствиис решением Арбитражного суда ХМАО-Югры (средства местного бюджета);                                                          (+) 6 733,2 тыс. рублей - увеличен объем бюджетных ассигнований в целях оплаты исполнительного листа по атомобильным перевозкам (средства местного бюджета)</t>
  </si>
  <si>
    <t>(+) 875,6 тыс. рублей - увеличен объем бюджетных ассигнований путем внутреннего перераспределения, в целях оплаты  исполнительного листа по заявлению ООО «Жилищно-эксплуатационная компания» о взыскании с администрации задолженности за оказанные услуги и судебные расходы (средства местного бюджета);                                                                                                                        (+) 6 930,0 тыс. рублей - увеличен объем бюджетных ассигнований в целях оплаты задолженности по коммунальным услугам МУП ТВК в соответствии с решением Арбитражного суда ХМАО-Югры (средства местного бюджета);                                                          (+) 6 733,2 тыс. рублей - увеличен объем бюджетных ассигнований в целях оплаты исполнительного листа по атомобильным перевозкам (средства местного бюджета);                                                                                                                                                                                (+) 7 069,0 тыс. рублей – увеличен объем целевых межбюджетных трансфертов на реализацию мероприятий по содействию трудоустройству граждан (средства бюджета автономного округа);                                                                                                                                                  (-) 72,7 тыс. рублей – уменьшен объем целевых межбюджетных трансфертов на  реализацию мероприятий по содействию в трудоустройстве незанятых инвалидов на оборудованные (оснащенные) для них рабочие места (средства бюджета автономного округа)</t>
  </si>
  <si>
    <t>(+) 1 000,0 тыс.рублей - увеличен объем бюджетных ассигнований на ремонт муниципального жилого фонда (средства местного бюджета)</t>
  </si>
  <si>
    <t>(-) 460,4 тыс.рублей - уменьшен объем бюджетных ассигнований по возмещению недополученных доходов организациям осуществляющим вывоз жидких бытовых отходов (средства местного бюджета)</t>
  </si>
  <si>
    <t>(-) 7 338,6 тыс.рублей - уменьшен объем бюджетных ассигнований по инициативному проекту "Создание объекта, предназначенного для содержания животных" (средства местного бюджета)</t>
  </si>
  <si>
    <t>(-) 1 484,0 тыс.рублей - уменьшен объем бюджетных ассигнований по строительству объекта "Городское кладбище" (средства местного бюджета)</t>
  </si>
  <si>
    <t xml:space="preserve">(+) 900,0 тыс.рублей - увеличен объем бюджетных ассигнований на установку тренажерных комплексов с травмобезопасной резиновой плиткой (средства местного бюджета) </t>
  </si>
  <si>
    <t>(+) 6 223,5 тыс.рублей - увеличен объем бюджетных ассигнований на капитальный ремонт (с заменой) систем теплоснабжения, водоснабжения и водоотведения, в том числе с применением композитных материалов, используется в целях обеспечения бесперебойной работы в осенне-зимний период (в том числе: 5 290,0 тыс.рублей за счет средств бюджета автономного округа, 933,5 тыс. рублей за счет средств местного бюджета);                                                                                                                                                                                                    (+) 526,0 тыс.рублей - увеличен объем бюджетных ассигнований на проектно-изыскательские работы по объекту "Инженерные сети к земельным участкам в 20 микрорайоне г.Мегион" (средства местного бюджета);                                                                                (-) 460,4 тыс.рублей - уменьшен объем бюджетных ассигнований по возмещению недополученных доходов организациям осуществляющим вывоз жидких бытовых отходов (средства местного бюджета);                                                                                                                                          (-) 113,3 тыс.рублей - уменьшен объем бюджетных ассигнований по возмещению расходов организации за доставку населению сжиженного газа для бытовых нужд (средства бюджета автономного округа);                                                                                                                                                                                               (-) 188,4 тыс.рублей - уменьшен объем бюджетных ассигнований по возмещению недополученных доходов организациям, осуществляющим реализацию населению сжиженного газа по социально-ориентированным розничным ценам (средства бюджета автономного округа)</t>
  </si>
  <si>
    <t>(+) 6 223,5 тыс.рублей - увеличен объем бюджетных ассигнований на капитальный ремонт (с заменой) систем теплоснабжения, водоснабжения и водоотведения, в том числе с применением композитных материалов, используется в целях обеспечения бесперебойной работы в осенне-зимний период (в том числе: 5 290,0 тыс.рублей за счет средств бюджета автономного округа, 933,5 тыс. рублей за счет средств местного бюджета);                                                                                                                                                                                         (+) 526,0 тыс.рублей - увеличен объем бюджетных ассигнований на проектно-изыскательские работы по объекту "Инженерные сети к земельным участкам в 20 микрорайоне г.Мегион" (средства местного бюджета)</t>
  </si>
  <si>
    <t>(-) 113,3 тыс.рублей - уменьшен объем бюджетных ассигнований по возмещению расходов организации за доставку населению сжиженного газа для бытовых нужд (средства бюджета автономного округа);                                                                                                                                (-) 188,4 тыс.рублей - уменьшен объем бюджетных ассигнований по возмещению недополученных доходов организациям, осуществляющим реализацию населению сжиженного газа по социально-ориентированным розничным ценам (средства бюджета автономного округа)</t>
  </si>
  <si>
    <t>(+) 8 036,0 тыс.рублей - увеличен объем бюджетных ассигнований на благоустройство дворовой территории жилого дома 14 по улице Ленина в г.Мегионе  (в том числе: 6 830,6 тыс.рублей за счет средств бюджета автономного округа, 1 205,4 тыс. рублей за счет средств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11 000,5 тыс.рублей - увеличен объем бюджетных ассигнований на благоустройство дворовой территории жилого дома 14 по улице Заречная в г.Мегионе  (в том числе: 9 350,4 тыс.рублей за счет средств бюджета автономного округа, 1 650,1 тыс. рублей за счет средств местного бюджета)</t>
  </si>
  <si>
    <t xml:space="preserve">(+) 2 880,4 тыс. рублей - увеличен объем бюджетных ассигнований путем внутреннего перераспределения, в целях осуществления оплаты труда за исполнение обязанностей заместителя главы города по социальной политике (средства местного бюджета)                                                                                                                                                                                                                     </t>
  </si>
  <si>
    <t>(+) 0,1 тыс.рублей - увеличен объем бюджетных ассигнований на благоустройство объекта "Аллея трудовой славы в г.Мегионе"  (средства бюджета автономного округа)</t>
  </si>
  <si>
    <t>(+) 900,0 тыс.рублей - увеличен объем бюджетных ассигнований на установку тренажерных комплексов с травмобезопасной резиновой плиткой (средства местного бюджета);                                                                                                                                                                                                 (+) 0,1 тыс.рублей - увеличен объем бюджетных ассигнований на благоустройство объекта "Аллея трудовой славы в г.Мегионе"  (средства бюджета автономного округа)</t>
  </si>
  <si>
    <t xml:space="preserve">                        Информация об изменении показателей объема бюджетных ассигнований на реализацию муниципальных программ и непрограммных направлений деятельности к первоначально утвержденным</t>
  </si>
  <si>
    <t>(-) 22,6 тыс. рублей - уменьшен объем бюджетных ассигнований путем внутреннего перераспределния с содержания здания спортивного комплекса "Геолог" , в целях обеспечения доли софинансирования при реализации мероприятий по обеспечению жильем молодых семей ( 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875,6 тыс. рублей - уменьшен объем бюджетных ассигнований путем внутреннего перераспределния с коммунальных расходов по квартирам, находящимся в муниципальной собственности, в связи с поступлением исполнительного листа по заявлению ООО «Жилищно-эксплуатационная компания» о взыскании с администрации задолженности за оказанные услуги и судебные расходы (средства местного бюджета);                                                                                                                                                                             (+) 1 200,0 тыс. рублей - увеличен объем бюджетных ассигнований на экспертизу жилых помещений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(+) 4 499,6 тыс. рублей - увеличен объем бюджетных ассигнований на паспортизацию объектов инженерных сетей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(+) 1 741,4 тыс. рублей - увеличен объем бюджетных ассигнований на уплату земельного налога за 2021 год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1 000,0 тыс. рублей - увеличен объем бюджетных ассигнований на ремонт помещений административного здания по ул.Садовая, 7 (средства местного бюджета)</t>
  </si>
  <si>
    <t xml:space="preserve">(+) 10 000,0 тыс.рублей - увеличен объем бюджетных ассигнований на содержание и текущий ремонт автомобильных дорог,  проездов, элементов обустройства улично-дорожной сети, объектов внешнего благоустройства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(-) 2 000,0 тыс.рублей - уменьшен объем бюджетных ассигнований путем внутреннего перераспределения с содержания и текущего ремонта автомобильных дорог на разработку проектно-сметной документации по объекту "Капитальный ремонт автомобильной дороги по ул.Абазарова в г.Мегионе" (средства местного бюджета)                        </t>
  </si>
  <si>
    <t>(+) 400,0 тыс.рублей - увеличен объем бюджетных ассигнований на ремонт и содержание площадей и скверов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(+) 700,0 тыс.рублей - увеличен объем бюджетных ассигнований на ремонт и содержание детских площадок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(+) 1 500,0 тыс.рублей - увеличен объем бюджетных ассигнований на уход за газонами и цветниками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400,0 тыс.рублей - увеличен объем бюджетных ассигнований на противопаводковые мероприятия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700,0 тыс.рублей - увеличен объем бюджетных ассигнований на детскую площадку по ул.Гагарина 13а в пгт.Высокий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3 500,0 тыс.рублей - увеличен объем бюджетных ассигнований на детскую площадку по ул.Ленина 30, 30/1, 30/2, 30/3 в пгт.Высокий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1 000,0 тыс.рублей - увеличен объем бюджетных ассигнований на снос гаражей, сараев, ветхих строений (средства местного бюджета)</t>
  </si>
  <si>
    <t xml:space="preserve">(+) 2 200,0 тыс.рублей - увеличен объем бюджетных ассигнований на разработку проектно-сметной документации по объекту "Капитальный ремонт автомобильной дороги по ул.Абазарова в г.Мегионе" (средства местного бюджета);                                                                                                                                       (+) 580,0 тыс.рублей - увеличен объем бюджетных ассигнований на разработку проектно-сметной документации по объекту "Открытая стоянка автотранспорта и организация пешеходного перехода (регулируемого) для ФСК с универсальным спортивным залом и залом бокса в г.Мегионе"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8 000,0 тыс.рублей - увеличен объем бюджетных ассигнований на капитальный ремонт и ремонт автомобильных дорог и внутриквартальных проездов (средства местного бюджета);                                                                                                                                     (+) 5 000,0 тыс.рублей - увеличен объем бюджетных ассигнований на ремонт автомобильной дороги к магазину Юбилейный (в районе жилого дома 11 по ул.Строителей в г.Мегион) (средства местного бюджета);                                                                                                                                                       (+) 5 000,0 тыс.рублей - увеличен объем бюджетных ассигнований на ремонт автомобильной дороги в городе Мегионе (на территории 10 ОРС) (средства местного бюджета);  </t>
  </si>
  <si>
    <t>(+) 2 200,0 тыс.рублей - увеличен объем бюджетных ассигнований на разработку проектно-сметной документации по объекту "Капитальный ремонт автомобильной дороги по ул.Абазарова в г.Мегионе"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580,0 тыс.рублей - увеличен объем бюджетных ассигнований на разработку проектно-сметной документации по объекту "Открытая стоянка автотранспорта и организация пешеходного перехода (регулируемого) для ФСК с универсальным спортивным залом и залом бокса в г.Мегионе"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8 000,0 тыс.рублей - увеличен объем бюджетных ассигнований на капитальный ремонт и ремонт автомобильных дорог и внутриквартальных проездов (средства местного бюджета);                                                                                                                                                                                                        (+) 6 738,5 тыс.рублей - увеличен объем бюджетных ассигнований путем внутреннего перераспределения на организацию пассажирских перевозок (средства местного бюджета);                                                                                                                                       (+) 5 000,0 тыс.рублей - увеличен объем бюджетных ассигнований на ремонт автомобильной дороги к магазину Юбилейный (в районе жилого дома 11 по ул.Строителей в г.Мегион) (средства местного бюджета);                                                                                                                                                       (+) 5 000,0 тыс.рублей - увеличен объем бюджетных ассигнований на ремонт автомобильной дороги в городе Мегионе (на территории 10 ОРС) (средства местного бюджета)</t>
  </si>
  <si>
    <t>(+) 400,0 тыс.рублей - увеличен объем бюджетных ассигнований путем внутреннего перераспределения на ремонт и содержание площадей и скверов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(+) 700,0 тыс.рублей - увеличен объем бюджетных ассигнований путем внутреннего перераспределения на ремонт и содержание детских площадок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(+) 1 500,0 тыс.рублей - увеличен объем бюджетных ассигнований  на уход за газонами и цветниками, из них 500,0тыс.руб. - путем внутреннего перераспределения, 1 000,0 тыс. руб. - за счет дополнительного финансирования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400,0 тыс.рублей - увеличен объем бюджетных ассигнований путем внутреннего перераспределения на противопаводковые мероприятия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700,0 тыс.рублей - увеличен объем бюджетных ассигнований на детскую площадку по ул.Гагарина 13а в пгт.Высокий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3 500,0 тыс.рублей - увеличен объем бюджетных ассигнований на детскую площадку по ул.Ленина 30, 30/1, 30/2, 30/3 в пгт.Высокий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1 000,0 тыс.рублей - увеличен объем бюджетных ассигнований на снос гаражей, сараев, ветхих строений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(-) 1 484,0 тыс.рублей - уменьшен объем бюджетных ассигнований путем внутреннего перераспределения по строительству объекта "Городское кладбище"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(-) 8 338,6 тыс.рублей - уменьшен объем бюджетных ассигнований путем внутреннего перераспределения по инициативному проекту "Создание объекта, предназначенного для содержания животных" (средства местного бюджета);                                                         (+) 1 000,0 тыс. рублей - увеличен объем бюджетных ассигнований по инициативному проекту "Создание объекта, предназначенного для содержания животных" (средства местного бюджета)</t>
  </si>
  <si>
    <t xml:space="preserve">(+) 184,0 тыс.рублей - увеличен объем бюджетных ассигнований путем внутреннего перераспределения на проведение негосударственной экспертизы сметной документации объектов: ремонт внутриквартального проезда 3 мкр и 11 мкр (средства местного бюджета);                                                                                                                                                                                                                      (+) 3 800,0 тыс.рублей - увеличен объем бюджетных ассигнований на устройство асфальтированного освещенного проезда к микрорайону Антоненко в пгт.Высокий (средства местного бюджета);                                                                                                                                                                                                               (+) 3 500,0 тыс.рублей - увеличен объем бюджетных ассигнований на ремонт проезда по ул.Нефтяников дом 4, г.Мегион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(+) 8 036,0 тыс.рублей - увеличен объем бюджетных ассигнований на благоустройство дворовой территории жилого дома 14 по улице Ленина в г.Мегионе  (в том числе: 6 830,6 тыс.рублей за счет средств бюджета автономного округа, 1 205,4 тыс. рублей за счет средств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11 000,5 тыс.рублей - увеличен объем бюджетных ассигнований на благоустройство дворовой территории жилого дома 14 по улице Заречная в г.Мегионе  (в том числе: 9 350,4 тыс.рублей за счет средств бюджета автономного округа, 1 650,1 тыс. рублей за счет средств местного бюджета);                                                                                                                                                                 (+) 1 500,0 тыс.рублей - увеличен объем бюджетных ассигнований на ремонт проездов и парковок дворовых территорий в районе магазина "Монетка" (ул. 70 Лет Октября д.1 и 3 , ул. Льва Толстого д.7) пгт.Высокий" (средства местного бюджета); </t>
  </si>
  <si>
    <t xml:space="preserve">(+) 184,0 тыс.рублей - увеличен объем бюджетных ассигнований на проведение негосударственной экспертизы сметной документации (средства местного бюджета);                                                                                                                                                                                                                 (+) 3 800,0 тыс.рублей - увеличен объем бюджетных ассигнований на устройство асфальтированного освещенного проезда к микрорайону Антоненко в пгт.Высокий (средства местного бюджета);                                                                                                                                                                                                               (+) 3 500,0 тыс.рублей - увеличен объем бюджетных ассигнований на ремонт проезда по ул.Нефтяников дом 4, г.Мегион (средства местного бюджета);                                                                                                                                                                                                    (+) 1 500,0 тыс.рублей - увеличен объем бюджетных ассигнований на ремонт проездов и парковок дворовых территорий в районе магазина "Монетка" (ул. 70 Лет Октября д.1 и 3 , ул. Льва Толстого д.7) пгт.Высокий" (средства местного бюджета)(средства местного бюджета);  </t>
  </si>
  <si>
    <t xml:space="preserve">(+) 2 880,4 тыс. рублей - увеличен объем бюджетных ассигнований путем внутреннего перераспределения, в целях осуществления оплаты труда за исполнение обязанностей заместителя главы города по социальной политике (84,1 тыс. руб.), и в связи с внесением изменений в штатное расписание ДОиМП, в соответствии с распоряжением главы от 17.11.2020 №1895-к (2 796,3 тыс. руб.) (средства местного бюджета);                                                                                                                                                                                          (+) 948,3 тыс. рублей -  увеличен объем бюджетных ассигнований на финансирование наказов избирателей депутатам Думы Ханты-Мансийского автономного округа - Югры (средства бюджета автономного округа);                                                                                             (+) 1 241,0 тыс. рублей - увеличен объем бюджетных ассигнований на модернизацию баскетбольной площадки для МАОУ СОШ №2 (расп. Правительства Тюменской обл. от 01.04.2021 №260-рп)(средства местного бюджета)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</si>
</sst>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#,##0.00;[Red]\-#,##0.00;0.00"/>
    <numFmt numFmtId="165" formatCode="0000000000"/>
    <numFmt numFmtId="166" formatCode="00.0.00.00000"/>
    <numFmt numFmtId="167" formatCode="#,##0.0;[Red]\-#,##0.0;0.0"/>
    <numFmt numFmtId="168" formatCode="#,##0.00_ ;[Red]\-#,##0.00\ "/>
    <numFmt numFmtId="169" formatCode="_-* #,##0.00_р_._-;\-* #,##0.00_р_._-;_-* &quot;-&quot;??_р_._-;_-@_-"/>
    <numFmt numFmtId="170" formatCode="_-* #,##0.0_-;\-* #,##0.0_-;_-* &quot;-&quot;??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12" fillId="0" borderId="0"/>
    <xf numFmtId="0" fontId="1" fillId="0" borderId="41" applyNumberFormat="0">
      <alignment horizontal="right"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6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</cellStyleXfs>
  <cellXfs count="19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166" fontId="3" fillId="5" borderId="10" xfId="1" applyNumberFormat="1" applyFont="1" applyFill="1" applyBorder="1" applyAlignment="1" applyProtection="1">
      <alignment wrapText="1"/>
      <protection hidden="1"/>
    </xf>
    <xf numFmtId="0" fontId="3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5" borderId="14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Border="1" applyProtection="1"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0" xfId="1" applyFill="1" applyBorder="1" applyProtection="1">
      <protection hidden="1"/>
    </xf>
    <xf numFmtId="0" fontId="9" fillId="0" borderId="22" xfId="1" applyNumberFormat="1" applyFont="1" applyFill="1" applyBorder="1" applyAlignment="1" applyProtection="1">
      <protection hidden="1"/>
    </xf>
    <xf numFmtId="0" fontId="3" fillId="8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5" fillId="7" borderId="12" xfId="1" applyNumberFormat="1" applyFont="1" applyFill="1" applyBorder="1" applyAlignment="1" applyProtection="1">
      <alignment horizontal="center" vertical="center" wrapText="1"/>
      <protection hidden="1"/>
    </xf>
    <xf numFmtId="0" fontId="5" fillId="7" borderId="7" xfId="1" applyNumberFormat="1" applyFont="1" applyFill="1" applyBorder="1" applyAlignment="1" applyProtection="1">
      <alignment horizontal="center" vertical="center" wrapText="1"/>
      <protection hidden="1"/>
    </xf>
    <xf numFmtId="0" fontId="5" fillId="7" borderId="7" xfId="1" applyNumberFormat="1" applyFont="1" applyFill="1" applyBorder="1" applyAlignment="1" applyProtection="1">
      <alignment horizontal="left" vertical="center" wrapText="1"/>
      <protection hidden="1"/>
    </xf>
    <xf numFmtId="164" fontId="5" fillId="7" borderId="7" xfId="1" applyNumberFormat="1" applyFont="1" applyFill="1" applyBorder="1" applyAlignment="1" applyProtection="1">
      <alignment horizontal="right" vertical="center"/>
      <protection hidden="1"/>
    </xf>
    <xf numFmtId="0" fontId="1" fillId="0" borderId="0" xfId="1" applyBorder="1"/>
    <xf numFmtId="164" fontId="3" fillId="8" borderId="6" xfId="1" applyNumberFormat="1" applyFont="1" applyFill="1" applyBorder="1" applyAlignment="1" applyProtection="1">
      <alignment horizontal="left" vertical="center" wrapText="1"/>
      <protection hidden="1"/>
    </xf>
    <xf numFmtId="164" fontId="3" fillId="0" borderId="6" xfId="1" applyNumberFormat="1" applyFont="1" applyFill="1" applyBorder="1" applyAlignment="1" applyProtection="1">
      <alignment horizontal="left" vertical="center" wrapText="1"/>
      <protection hidden="1"/>
    </xf>
    <xf numFmtId="166" fontId="3" fillId="4" borderId="10" xfId="1" applyNumberFormat="1" applyFont="1" applyFill="1" applyBorder="1" applyAlignment="1" applyProtection="1">
      <alignment horizontal="left" vertical="center" wrapText="1"/>
      <protection hidden="1"/>
    </xf>
    <xf numFmtId="166" fontId="8" fillId="4" borderId="9" xfId="1" applyNumberFormat="1" applyFont="1" applyFill="1" applyBorder="1" applyAlignment="1" applyProtection="1">
      <alignment horizontal="left" vertical="center" wrapText="1"/>
      <protection hidden="1"/>
    </xf>
    <xf numFmtId="164" fontId="3" fillId="9" borderId="7" xfId="1" applyNumberFormat="1" applyFont="1" applyFill="1" applyBorder="1" applyAlignment="1" applyProtection="1">
      <alignment vertical="center"/>
      <protection hidden="1"/>
    </xf>
    <xf numFmtId="4" fontId="1" fillId="6" borderId="0" xfId="1" applyNumberFormat="1" applyFill="1" applyBorder="1" applyProtection="1">
      <protection hidden="1"/>
    </xf>
    <xf numFmtId="0" fontId="1" fillId="0" borderId="0" xfId="1" applyNumberFormat="1" applyFont="1" applyFill="1" applyBorder="1" applyAlignment="1" applyProtection="1">
      <protection hidden="1"/>
    </xf>
    <xf numFmtId="164" fontId="2" fillId="7" borderId="11" xfId="1" applyNumberFormat="1" applyFont="1" applyFill="1" applyBorder="1" applyAlignment="1" applyProtection="1">
      <alignment horizontal="left" vertical="center" wrapText="1"/>
      <protection hidden="1"/>
    </xf>
    <xf numFmtId="164" fontId="2" fillId="7" borderId="6" xfId="1" applyNumberFormat="1" applyFont="1" applyFill="1" applyBorder="1" applyAlignment="1" applyProtection="1">
      <alignment horizontal="left" vertical="center" wrapText="1"/>
      <protection hidden="1"/>
    </xf>
    <xf numFmtId="164" fontId="3" fillId="7" borderId="6" xfId="1" applyNumberFormat="1" applyFont="1" applyFill="1" applyBorder="1" applyAlignment="1" applyProtection="1">
      <alignment horizontal="left" vertical="center" wrapText="1"/>
      <protection hidden="1"/>
    </xf>
    <xf numFmtId="164" fontId="3" fillId="8" borderId="6" xfId="1" applyNumberFormat="1" applyFont="1" applyFill="1" applyBorder="1" applyAlignment="1" applyProtection="1">
      <alignment horizontal="left" vertical="top" wrapText="1"/>
      <protection hidden="1"/>
    </xf>
    <xf numFmtId="166" fontId="3" fillId="5" borderId="0" xfId="1" applyNumberFormat="1" applyFont="1" applyFill="1" applyBorder="1" applyAlignment="1" applyProtection="1">
      <alignment wrapText="1"/>
      <protection hidden="1"/>
    </xf>
    <xf numFmtId="49" fontId="3" fillId="8" borderId="7" xfId="1" applyNumberFormat="1" applyFont="1" applyFill="1" applyBorder="1" applyAlignment="1" applyProtection="1">
      <alignment horizontal="center" vertical="center" wrapText="1"/>
      <protection hidden="1"/>
    </xf>
    <xf numFmtId="168" fontId="1" fillId="0" borderId="0" xfId="1" applyNumberFormat="1"/>
    <xf numFmtId="0" fontId="2" fillId="7" borderId="7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166" fontId="8" fillId="8" borderId="10" xfId="1" applyNumberFormat="1" applyFont="1" applyFill="1" applyBorder="1" applyAlignment="1" applyProtection="1">
      <alignment horizontal="left" vertical="center" wrapText="1"/>
      <protection hidden="1"/>
    </xf>
    <xf numFmtId="164" fontId="10" fillId="8" borderId="6" xfId="1" applyNumberFormat="1" applyFont="1" applyFill="1" applyBorder="1" applyAlignment="1" applyProtection="1">
      <alignment horizontal="left" vertical="center" wrapText="1"/>
      <protection hidden="1"/>
    </xf>
    <xf numFmtId="0" fontId="1" fillId="0" borderId="17" xfId="1" applyBorder="1" applyProtection="1">
      <protection hidden="1"/>
    </xf>
    <xf numFmtId="0" fontId="1" fillId="0" borderId="14" xfId="1" applyBorder="1" applyProtection="1">
      <protection hidden="1"/>
    </xf>
    <xf numFmtId="167" fontId="3" fillId="8" borderId="6" xfId="3" applyNumberFormat="1" applyFont="1" applyFill="1" applyBorder="1" applyAlignment="1" applyProtection="1">
      <alignment vertical="center" wrapText="1"/>
      <protection hidden="1"/>
    </xf>
    <xf numFmtId="0" fontId="1" fillId="0" borderId="34" xfId="1" applyNumberFormat="1" applyFont="1" applyFill="1" applyBorder="1" applyAlignment="1" applyProtection="1">
      <protection hidden="1"/>
    </xf>
    <xf numFmtId="0" fontId="1" fillId="0" borderId="22" xfId="1" applyNumberFormat="1" applyFont="1" applyFill="1" applyBorder="1" applyAlignment="1" applyProtection="1">
      <protection hidden="1"/>
    </xf>
    <xf numFmtId="166" fontId="3" fillId="0" borderId="10" xfId="1" applyNumberFormat="1" applyFont="1" applyFill="1" applyBorder="1" applyAlignment="1" applyProtection="1">
      <alignment horizontal="left" vertical="center" wrapText="1"/>
      <protection hidden="1"/>
    </xf>
    <xf numFmtId="164" fontId="2" fillId="7" borderId="7" xfId="1" applyNumberFormat="1" applyFont="1" applyFill="1" applyBorder="1" applyAlignment="1" applyProtection="1">
      <alignment horizontal="right" vertical="center"/>
      <protection hidden="1"/>
    </xf>
    <xf numFmtId="165" fontId="5" fillId="7" borderId="13" xfId="1" applyNumberFormat="1" applyFont="1" applyFill="1" applyBorder="1" applyAlignment="1" applyProtection="1">
      <alignment horizontal="center" vertical="center" wrapText="1"/>
      <protection hidden="1"/>
    </xf>
    <xf numFmtId="165" fontId="3" fillId="8" borderId="4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5" fillId="7" borderId="4" xfId="1" applyNumberFormat="1" applyFont="1" applyFill="1" applyBorder="1" applyAlignment="1" applyProtection="1">
      <alignment horizontal="center" vertical="center" wrapText="1"/>
      <protection hidden="1"/>
    </xf>
    <xf numFmtId="165" fontId="2" fillId="7" borderId="4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Alignment="1">
      <alignment vertical="top"/>
    </xf>
    <xf numFmtId="0" fontId="1" fillId="0" borderId="8" xfId="1" applyFont="1" applyFill="1" applyBorder="1" applyAlignment="1">
      <alignment horizontal="left" vertical="center" wrapText="1"/>
    </xf>
    <xf numFmtId="0" fontId="7" fillId="9" borderId="0" xfId="2" applyFont="1" applyFill="1" applyAlignment="1">
      <alignment horizontal="right"/>
    </xf>
    <xf numFmtId="0" fontId="1" fillId="9" borderId="0" xfId="1" applyFill="1" applyProtection="1">
      <protection hidden="1"/>
    </xf>
    <xf numFmtId="164" fontId="2" fillId="7" borderId="7" xfId="1" applyNumberFormat="1" applyFont="1" applyFill="1" applyBorder="1" applyAlignment="1" applyProtection="1">
      <alignment vertical="center"/>
      <protection hidden="1"/>
    </xf>
    <xf numFmtId="164" fontId="5" fillId="7" borderId="12" xfId="1" applyNumberFormat="1" applyFont="1" applyFill="1" applyBorder="1" applyAlignment="1" applyProtection="1">
      <alignment vertical="center"/>
      <protection hidden="1"/>
    </xf>
    <xf numFmtId="164" fontId="3" fillId="0" borderId="8" xfId="1" applyNumberFormat="1" applyFont="1" applyFill="1" applyBorder="1" applyAlignment="1" applyProtection="1">
      <alignment vertical="center"/>
      <protection hidden="1"/>
    </xf>
    <xf numFmtId="164" fontId="3" fillId="0" borderId="7" xfId="1" applyNumberFormat="1" applyFont="1" applyFill="1" applyBorder="1" applyAlignment="1" applyProtection="1">
      <alignment vertical="center"/>
      <protection hidden="1"/>
    </xf>
    <xf numFmtId="164" fontId="3" fillId="8" borderId="7" xfId="1" applyNumberFormat="1" applyFont="1" applyFill="1" applyBorder="1" applyAlignment="1" applyProtection="1">
      <alignment vertical="center"/>
      <protection hidden="1"/>
    </xf>
    <xf numFmtId="164" fontId="5" fillId="7" borderId="7" xfId="1" applyNumberFormat="1" applyFont="1" applyFill="1" applyBorder="1" applyAlignment="1" applyProtection="1">
      <alignment vertical="center"/>
      <protection hidden="1"/>
    </xf>
    <xf numFmtId="49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0" applyFont="1" applyFill="1" applyBorder="1" applyAlignment="1">
      <alignment horizontal="justify" vertical="center"/>
    </xf>
    <xf numFmtId="167" fontId="3" fillId="0" borderId="6" xfId="3" applyNumberFormat="1" applyFont="1" applyFill="1" applyBorder="1" applyAlignment="1" applyProtection="1">
      <alignment vertical="center" wrapText="1"/>
      <protection hidden="1"/>
    </xf>
    <xf numFmtId="0" fontId="10" fillId="0" borderId="6" xfId="0" applyFont="1" applyFill="1" applyBorder="1" applyAlignment="1">
      <alignment horizontal="justify" vertical="center"/>
    </xf>
    <xf numFmtId="164" fontId="10" fillId="0" borderId="6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3" xfId="0" applyFont="1" applyFill="1" applyBorder="1" applyAlignment="1">
      <alignment horizontal="left" vertical="center" wrapText="1"/>
    </xf>
    <xf numFmtId="40" fontId="2" fillId="0" borderId="36" xfId="1" applyNumberFormat="1" applyFont="1" applyFill="1" applyBorder="1" applyAlignment="1" applyProtection="1">
      <alignment horizontal="right" vertical="center"/>
      <protection hidden="1"/>
    </xf>
    <xf numFmtId="40" fontId="2" fillId="0" borderId="37" xfId="1" applyNumberFormat="1" applyFont="1" applyFill="1" applyBorder="1" applyAlignment="1" applyProtection="1">
      <alignment vertical="center"/>
      <protection hidden="1"/>
    </xf>
    <xf numFmtId="0" fontId="1" fillId="0" borderId="15" xfId="1" applyBorder="1" applyProtection="1">
      <protection hidden="1"/>
    </xf>
    <xf numFmtId="0" fontId="1" fillId="0" borderId="1" xfId="1" applyBorder="1"/>
    <xf numFmtId="0" fontId="10" fillId="0" borderId="6" xfId="0" applyFont="1" applyFill="1" applyBorder="1" applyAlignment="1">
      <alignment vertical="center" wrapText="1"/>
    </xf>
    <xf numFmtId="0" fontId="1" fillId="0" borderId="34" xfId="1" applyBorder="1" applyProtection="1">
      <protection hidden="1"/>
    </xf>
    <xf numFmtId="166" fontId="3" fillId="5" borderId="22" xfId="1" applyNumberFormat="1" applyFont="1" applyFill="1" applyBorder="1" applyAlignment="1" applyProtection="1">
      <alignment wrapText="1"/>
      <protection hidden="1"/>
    </xf>
    <xf numFmtId="166" fontId="3" fillId="4" borderId="22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3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38" xfId="1" applyNumberFormat="1" applyFont="1" applyFill="1" applyBorder="1" applyAlignment="1" applyProtection="1">
      <alignment vertical="center"/>
      <protection hidden="1"/>
    </xf>
    <xf numFmtId="164" fontId="3" fillId="0" borderId="39" xfId="1" applyNumberFormat="1" applyFont="1" applyFill="1" applyBorder="1" applyAlignment="1" applyProtection="1">
      <alignment vertical="center"/>
      <protection hidden="1"/>
    </xf>
    <xf numFmtId="0" fontId="10" fillId="0" borderId="40" xfId="0" applyFont="1" applyFill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166" fontId="3" fillId="7" borderId="6" xfId="1" applyNumberFormat="1" applyFont="1" applyFill="1" applyBorder="1" applyAlignment="1" applyProtection="1">
      <alignment horizontal="left" wrapText="1"/>
      <protection hidden="1"/>
    </xf>
    <xf numFmtId="166" fontId="3" fillId="0" borderId="6" xfId="1" applyNumberFormat="1" applyFont="1" applyFill="1" applyBorder="1" applyAlignment="1" applyProtection="1">
      <alignment horizontal="left" wrapText="1"/>
      <protection hidden="1"/>
    </xf>
    <xf numFmtId="0" fontId="10" fillId="7" borderId="6" xfId="0" applyFont="1" applyFill="1" applyBorder="1" applyAlignment="1">
      <alignment horizontal="left" vertical="center" wrapText="1"/>
    </xf>
    <xf numFmtId="0" fontId="10" fillId="8" borderId="6" xfId="0" applyFont="1" applyFill="1" applyBorder="1" applyAlignment="1">
      <alignment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wrapText="1"/>
    </xf>
    <xf numFmtId="164" fontId="3" fillId="0" borderId="0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8" xfId="0" applyFont="1" applyBorder="1" applyAlignment="1">
      <alignment wrapText="1"/>
    </xf>
    <xf numFmtId="167" fontId="5" fillId="7" borderId="12" xfId="1" applyNumberFormat="1" applyFont="1" applyFill="1" applyBorder="1" applyAlignment="1" applyProtection="1">
      <alignment vertical="center"/>
      <protection hidden="1"/>
    </xf>
    <xf numFmtId="167" fontId="3" fillId="8" borderId="7" xfId="1" applyNumberFormat="1" applyFont="1" applyFill="1" applyBorder="1" applyAlignment="1" applyProtection="1">
      <alignment vertical="center"/>
      <protection hidden="1"/>
    </xf>
    <xf numFmtId="167" fontId="3" fillId="0" borderId="7" xfId="1" applyNumberFormat="1" applyFont="1" applyFill="1" applyBorder="1" applyAlignment="1" applyProtection="1">
      <alignment vertical="center"/>
      <protection hidden="1"/>
    </xf>
    <xf numFmtId="167" fontId="2" fillId="7" borderId="7" xfId="1" applyNumberFormat="1" applyFont="1" applyFill="1" applyBorder="1" applyAlignment="1" applyProtection="1">
      <alignment vertical="center"/>
      <protection hidden="1"/>
    </xf>
    <xf numFmtId="167" fontId="5" fillId="7" borderId="7" xfId="1" applyNumberFormat="1" applyFont="1" applyFill="1" applyBorder="1" applyAlignment="1" applyProtection="1">
      <alignment vertical="center"/>
      <protection hidden="1"/>
    </xf>
    <xf numFmtId="167" fontId="3" fillId="0" borderId="8" xfId="1" applyNumberFormat="1" applyFont="1" applyFill="1" applyBorder="1" applyAlignment="1" applyProtection="1">
      <alignment vertical="center"/>
      <protection hidden="1"/>
    </xf>
    <xf numFmtId="167" fontId="2" fillId="7" borderId="7" xfId="1" applyNumberFormat="1" applyFont="1" applyFill="1" applyBorder="1" applyAlignment="1" applyProtection="1">
      <alignment horizontal="right" vertical="center"/>
      <protection hidden="1"/>
    </xf>
    <xf numFmtId="167" fontId="5" fillId="7" borderId="7" xfId="1" applyNumberFormat="1" applyFont="1" applyFill="1" applyBorder="1" applyAlignment="1" applyProtection="1">
      <alignment horizontal="right" vertical="center"/>
      <protection hidden="1"/>
    </xf>
    <xf numFmtId="167" fontId="3" fillId="9" borderId="7" xfId="1" applyNumberFormat="1" applyFont="1" applyFill="1" applyBorder="1" applyAlignment="1" applyProtection="1">
      <alignment vertical="center"/>
      <protection hidden="1"/>
    </xf>
    <xf numFmtId="167" fontId="3" fillId="0" borderId="38" xfId="1" applyNumberFormat="1" applyFont="1" applyFill="1" applyBorder="1" applyAlignment="1" applyProtection="1">
      <alignment vertical="center"/>
      <protection hidden="1"/>
    </xf>
    <xf numFmtId="167" fontId="3" fillId="0" borderId="39" xfId="1" applyNumberFormat="1" applyFont="1" applyFill="1" applyBorder="1" applyAlignment="1" applyProtection="1">
      <alignment vertical="center"/>
      <protection hidden="1"/>
    </xf>
    <xf numFmtId="167" fontId="2" fillId="0" borderId="36" xfId="1" applyNumberFormat="1" applyFont="1" applyFill="1" applyBorder="1" applyAlignment="1" applyProtection="1">
      <alignment horizontal="right" vertical="center"/>
      <protection hidden="1"/>
    </xf>
    <xf numFmtId="0" fontId="3" fillId="5" borderId="2" xfId="1" applyNumberFormat="1" applyFont="1" applyFill="1" applyBorder="1" applyAlignment="1" applyProtection="1">
      <alignment horizontal="center" vertical="center"/>
      <protection hidden="1"/>
    </xf>
    <xf numFmtId="0" fontId="3" fillId="4" borderId="42" xfId="1" applyNumberFormat="1" applyFont="1" applyFill="1" applyBorder="1" applyAlignment="1" applyProtection="1">
      <alignment horizontal="center" vertical="center"/>
      <protection hidden="1"/>
    </xf>
    <xf numFmtId="0" fontId="3" fillId="3" borderId="3" xfId="1" applyNumberFormat="1" applyFont="1" applyFill="1" applyBorder="1" applyAlignment="1" applyProtection="1">
      <alignment horizontal="center" vertical="center"/>
      <protection hidden="1"/>
    </xf>
    <xf numFmtId="0" fontId="3" fillId="2" borderId="14" xfId="1" applyNumberFormat="1" applyFont="1" applyFill="1" applyBorder="1" applyAlignment="1" applyProtection="1">
      <alignment horizontal="center" vertical="center"/>
      <protection hidden="1"/>
    </xf>
    <xf numFmtId="0" fontId="3" fillId="3" borderId="14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vertical="center" wrapText="1"/>
      <protection hidden="1"/>
    </xf>
    <xf numFmtId="0" fontId="2" fillId="0" borderId="22" xfId="1" applyNumberFormat="1" applyFont="1" applyFill="1" applyBorder="1" applyAlignment="1" applyProtection="1">
      <alignment vertical="center" wrapText="1"/>
      <protection hidden="1"/>
    </xf>
    <xf numFmtId="0" fontId="1" fillId="0" borderId="1" xfId="1" applyBorder="1" applyProtection="1">
      <protection hidden="1"/>
    </xf>
    <xf numFmtId="0" fontId="1" fillId="0" borderId="22" xfId="1" applyBorder="1" applyProtection="1">
      <protection hidden="1"/>
    </xf>
    <xf numFmtId="170" fontId="1" fillId="0" borderId="0" xfId="46" applyNumberFormat="1" applyFont="1"/>
    <xf numFmtId="164" fontId="3" fillId="8" borderId="26" xfId="1" applyNumberFormat="1" applyFont="1" applyFill="1" applyBorder="1" applyAlignment="1" applyProtection="1">
      <alignment horizontal="right" vertical="center"/>
      <protection hidden="1"/>
    </xf>
    <xf numFmtId="164" fontId="3" fillId="8" borderId="19" xfId="1" applyNumberFormat="1" applyFont="1" applyFill="1" applyBorder="1" applyAlignment="1" applyProtection="1">
      <alignment horizontal="right" vertical="center"/>
      <protection hidden="1"/>
    </xf>
    <xf numFmtId="166" fontId="3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2" fillId="7" borderId="10" xfId="1" applyNumberFormat="1" applyFont="1" applyFill="1" applyBorder="1" applyAlignment="1" applyProtection="1">
      <alignment horizontal="left" vertical="center" wrapText="1"/>
      <protection hidden="1"/>
    </xf>
    <xf numFmtId="166" fontId="2" fillId="7" borderId="4" xfId="1" applyNumberFormat="1" applyFont="1" applyFill="1" applyBorder="1" applyAlignment="1" applyProtection="1">
      <alignment horizontal="left" vertical="center" wrapText="1"/>
      <protection hidden="1"/>
    </xf>
    <xf numFmtId="166" fontId="2" fillId="7" borderId="23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8" fillId="8" borderId="8" xfId="1" applyNumberFormat="1" applyFont="1" applyFill="1" applyBorder="1" applyAlignment="1" applyProtection="1">
      <alignment horizontal="left" vertical="center" wrapText="1"/>
      <protection hidden="1"/>
    </xf>
    <xf numFmtId="166" fontId="3" fillId="8" borderId="8" xfId="1" applyNumberFormat="1" applyFont="1" applyFill="1" applyBorder="1" applyAlignment="1" applyProtection="1">
      <alignment horizontal="left" vertical="center" wrapText="1"/>
      <protection hidden="1"/>
    </xf>
    <xf numFmtId="166" fontId="8" fillId="8" borderId="9" xfId="1" applyNumberFormat="1" applyFont="1" applyFill="1" applyBorder="1" applyAlignment="1" applyProtection="1">
      <alignment horizontal="left" vertical="center" wrapText="1"/>
      <protection hidden="1"/>
    </xf>
    <xf numFmtId="166" fontId="3" fillId="8" borderId="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8" xfId="3" applyNumberFormat="1" applyFont="1" applyFill="1" applyBorder="1" applyAlignment="1" applyProtection="1">
      <alignment horizontal="left" vertical="center" wrapText="1"/>
      <protection hidden="1"/>
    </xf>
    <xf numFmtId="49" fontId="8" fillId="0" borderId="10" xfId="1" applyNumberFormat="1" applyFont="1" applyFill="1" applyBorder="1" applyAlignment="1" applyProtection="1">
      <alignment horizontal="left" vertical="center" wrapText="1"/>
      <protection hidden="1"/>
    </xf>
    <xf numFmtId="49" fontId="8" fillId="0" borderId="4" xfId="1" applyNumberFormat="1" applyFont="1" applyFill="1" applyBorder="1" applyAlignment="1" applyProtection="1">
      <alignment horizontal="left" vertical="center" wrapText="1"/>
      <protection hidden="1"/>
    </xf>
    <xf numFmtId="49" fontId="8" fillId="0" borderId="23" xfId="1" applyNumberFormat="1" applyFont="1" applyFill="1" applyBorder="1" applyAlignment="1" applyProtection="1">
      <alignment horizontal="left" vertical="center" wrapText="1"/>
      <protection hidden="1"/>
    </xf>
    <xf numFmtId="166" fontId="5" fillId="7" borderId="4" xfId="1" applyNumberFormat="1" applyFont="1" applyFill="1" applyBorder="1" applyAlignment="1" applyProtection="1">
      <alignment horizontal="left" vertical="center" wrapText="1"/>
      <protection hidden="1"/>
    </xf>
    <xf numFmtId="166" fontId="5" fillId="7" borderId="23" xfId="1" applyNumberFormat="1" applyFont="1" applyFill="1" applyBorder="1" applyAlignment="1" applyProtection="1">
      <alignment horizontal="left" vertical="center" wrapText="1"/>
      <protection hidden="1"/>
    </xf>
    <xf numFmtId="164" fontId="3" fillId="8" borderId="32" xfId="1" applyNumberFormat="1" applyFont="1" applyFill="1" applyBorder="1" applyAlignment="1" applyProtection="1">
      <alignment horizontal="left" vertical="center" wrapText="1"/>
      <protection hidden="1"/>
    </xf>
    <xf numFmtId="164" fontId="3" fillId="8" borderId="33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38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38" xfId="1" applyNumberFormat="1" applyFont="1" applyFill="1" applyBorder="1" applyAlignment="1" applyProtection="1">
      <alignment horizontal="left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4" xfId="1" applyNumberFormat="1" applyFont="1" applyFill="1" applyBorder="1" applyAlignment="1" applyProtection="1">
      <alignment horizontal="center" vertical="center" wrapText="1"/>
      <protection hidden="1"/>
    </xf>
    <xf numFmtId="166" fontId="2" fillId="7" borderId="24" xfId="1" applyNumberFormat="1" applyFont="1" applyFill="1" applyBorder="1" applyAlignment="1" applyProtection="1">
      <alignment horizontal="left" vertical="center" wrapText="1"/>
      <protection hidden="1"/>
    </xf>
    <xf numFmtId="166" fontId="5" fillId="7" borderId="13" xfId="1" applyNumberFormat="1" applyFont="1" applyFill="1" applyBorder="1" applyAlignment="1" applyProtection="1">
      <alignment horizontal="left" vertical="center" wrapText="1"/>
      <protection hidden="1"/>
    </xf>
    <xf numFmtId="166" fontId="5" fillId="7" borderId="25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4" xfId="1" applyNumberFormat="1" applyFont="1" applyFill="1" applyBorder="1" applyAlignment="1" applyProtection="1">
      <alignment horizontal="center" vertical="center" wrapText="1"/>
      <protection hidden="1"/>
    </xf>
    <xf numFmtId="165" fontId="3" fillId="8" borderId="26" xfId="1" applyNumberFormat="1" applyFont="1" applyFill="1" applyBorder="1" applyAlignment="1" applyProtection="1">
      <alignment horizontal="center" vertical="center" wrapText="1"/>
      <protection hidden="1"/>
    </xf>
    <xf numFmtId="165" fontId="3" fillId="8" borderId="19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4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3" xfId="1" applyNumberFormat="1" applyFont="1" applyFill="1" applyBorder="1" applyAlignment="1" applyProtection="1">
      <alignment horizontal="left" vertical="center" wrapText="1"/>
      <protection hidden="1"/>
    </xf>
    <xf numFmtId="166" fontId="5" fillId="7" borderId="9" xfId="1" applyNumberFormat="1" applyFont="1" applyFill="1" applyBorder="1" applyAlignment="1" applyProtection="1">
      <alignment horizontal="left" vertical="center" wrapText="1"/>
      <protection hidden="1"/>
    </xf>
    <xf numFmtId="166" fontId="5" fillId="7" borderId="8" xfId="1" applyNumberFormat="1" applyFont="1" applyFill="1" applyBorder="1" applyAlignment="1" applyProtection="1">
      <alignment horizontal="left" vertical="center" wrapText="1"/>
      <protection hidden="1"/>
    </xf>
    <xf numFmtId="0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35" xfId="1" applyNumberFormat="1" applyFont="1" applyFill="1" applyBorder="1" applyAlignment="1" applyProtection="1">
      <alignment horizontal="center" vertical="center"/>
      <protection hidden="1"/>
    </xf>
    <xf numFmtId="166" fontId="5" fillId="7" borderId="10" xfId="1" applyNumberFormat="1" applyFont="1" applyFill="1" applyBorder="1" applyAlignment="1" applyProtection="1">
      <alignment horizontal="left" vertical="center" wrapText="1"/>
      <protection hidden="1"/>
    </xf>
    <xf numFmtId="166" fontId="3" fillId="8" borderId="27" xfId="1" applyNumberFormat="1" applyFont="1" applyFill="1" applyBorder="1" applyAlignment="1" applyProtection="1">
      <alignment horizontal="left" vertical="center" wrapText="1"/>
      <protection hidden="1"/>
    </xf>
    <xf numFmtId="166" fontId="8" fillId="8" borderId="28" xfId="1" applyNumberFormat="1" applyFont="1" applyFill="1" applyBorder="1" applyAlignment="1" applyProtection="1">
      <alignment horizontal="left" vertical="center" wrapText="1"/>
      <protection hidden="1"/>
    </xf>
    <xf numFmtId="166" fontId="8" fillId="8" borderId="29" xfId="1" applyNumberFormat="1" applyFont="1" applyFill="1" applyBorder="1" applyAlignment="1" applyProtection="1">
      <alignment horizontal="left" vertical="center" wrapText="1"/>
      <protection hidden="1"/>
    </xf>
    <xf numFmtId="166" fontId="8" fillId="8" borderId="5" xfId="1" applyNumberFormat="1" applyFont="1" applyFill="1" applyBorder="1" applyAlignment="1" applyProtection="1">
      <alignment horizontal="left" vertical="center" wrapText="1"/>
      <protection hidden="1"/>
    </xf>
    <xf numFmtId="166" fontId="8" fillId="8" borderId="30" xfId="1" applyNumberFormat="1" applyFont="1" applyFill="1" applyBorder="1" applyAlignment="1" applyProtection="1">
      <alignment horizontal="left" vertical="center" wrapText="1"/>
      <protection hidden="1"/>
    </xf>
    <xf numFmtId="166" fontId="8" fillId="8" borderId="31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4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23" xfId="1" applyNumberFormat="1" applyFont="1" applyFill="1" applyBorder="1" applyAlignment="1" applyProtection="1">
      <alignment horizontal="left" vertical="center" wrapText="1"/>
      <protection hidden="1"/>
    </xf>
    <xf numFmtId="0" fontId="5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1" applyNumberFormat="1" applyFont="1" applyFill="1" applyBorder="1" applyAlignment="1" applyProtection="1">
      <alignment horizontal="center" vertical="center" wrapText="1"/>
      <protection hidden="1"/>
    </xf>
    <xf numFmtId="166" fontId="3" fillId="8" borderId="4" xfId="1" applyNumberFormat="1" applyFont="1" applyFill="1" applyBorder="1" applyAlignment="1" applyProtection="1">
      <alignment horizontal="left" vertical="center" wrapText="1"/>
      <protection hidden="1"/>
    </xf>
    <xf numFmtId="166" fontId="3" fillId="8" borderId="23" xfId="1" applyNumberFormat="1" applyFont="1" applyFill="1" applyBorder="1" applyAlignment="1" applyProtection="1">
      <alignment horizontal="left" vertical="center" wrapText="1"/>
      <protection hidden="1"/>
    </xf>
    <xf numFmtId="167" fontId="3" fillId="8" borderId="26" xfId="1" applyNumberFormat="1" applyFont="1" applyFill="1" applyBorder="1" applyAlignment="1" applyProtection="1">
      <alignment horizontal="right" vertical="center"/>
      <protection hidden="1"/>
    </xf>
    <xf numFmtId="167" fontId="3" fillId="8" borderId="19" xfId="1" applyNumberFormat="1" applyFont="1" applyFill="1" applyBorder="1" applyAlignment="1" applyProtection="1">
      <alignment horizontal="right" vertical="center"/>
      <protection hidden="1"/>
    </xf>
    <xf numFmtId="166" fontId="3" fillId="0" borderId="7" xfId="1" applyNumberFormat="1" applyFont="1" applyFill="1" applyBorder="1" applyAlignment="1" applyProtection="1">
      <alignment horizontal="left" vertical="center" wrapText="1"/>
      <protection hidden="1"/>
    </xf>
    <xf numFmtId="0" fontId="3" fillId="8" borderId="26" xfId="1" applyNumberFormat="1" applyFont="1" applyFill="1" applyBorder="1" applyAlignment="1" applyProtection="1">
      <alignment horizontal="center" vertical="center" wrapText="1"/>
      <protection hidden="1"/>
    </xf>
    <xf numFmtId="0" fontId="3" fillId="8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8" borderId="26" xfId="1" applyNumberFormat="1" applyFont="1" applyFill="1" applyBorder="1" applyAlignment="1" applyProtection="1">
      <alignment horizontal="center" vertical="top" wrapText="1"/>
      <protection hidden="1"/>
    </xf>
    <xf numFmtId="0" fontId="3" fillId="8" borderId="19" xfId="1" applyNumberFormat="1" applyFont="1" applyFill="1" applyBorder="1" applyAlignment="1" applyProtection="1">
      <alignment horizontal="center" vertical="top" wrapText="1"/>
      <protection hidden="1"/>
    </xf>
  </cellXfs>
  <cellStyles count="47">
    <cellStyle name="Normal" xfId="5"/>
    <cellStyle name="Данные (только для чтения)" xfId="6"/>
    <cellStyle name="Денежный 2" xfId="40"/>
    <cellStyle name="Обычный" xfId="0" builtinId="0"/>
    <cellStyle name="Обычный 10" xfId="4"/>
    <cellStyle name="Обычный 11" xfId="7"/>
    <cellStyle name="Обычный 12" xfId="8"/>
    <cellStyle name="Обычный 13" xfId="9"/>
    <cellStyle name="Обычный 14" xfId="10"/>
    <cellStyle name="Обычный 15" xfId="11"/>
    <cellStyle name="Обычный 16" xfId="12"/>
    <cellStyle name="Обычный 17" xfId="13"/>
    <cellStyle name="Обычный 18" xfId="14"/>
    <cellStyle name="Обычный 19" xfId="15"/>
    <cellStyle name="Обычный 2" xfId="1"/>
    <cellStyle name="Обычный 2 2" xfId="3"/>
    <cellStyle name="Обычный 2 2 2" xfId="16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25" xfId="22"/>
    <cellStyle name="Обычный 26" xfId="23"/>
    <cellStyle name="Обычный 27" xfId="24"/>
    <cellStyle name="Обычный 28" xfId="25"/>
    <cellStyle name="Обычный 29" xfId="26"/>
    <cellStyle name="Обычный 3" xfId="27"/>
    <cellStyle name="Обычный 3 2" xfId="28"/>
    <cellStyle name="Обычный 3 3" xfId="41"/>
    <cellStyle name="Обычный 3 3 2" xfId="43"/>
    <cellStyle name="Обычный 3 3 3" xfId="44"/>
    <cellStyle name="Обычный 3 3 4" xfId="45"/>
    <cellStyle name="Обычный 30" xfId="29"/>
    <cellStyle name="Обычный 4" xfId="2"/>
    <cellStyle name="Обычный 4 2" xfId="31"/>
    <cellStyle name="Обычный 4 3" xfId="30"/>
    <cellStyle name="Обычный 5" xfId="32"/>
    <cellStyle name="Обычный 5 2" xfId="42"/>
    <cellStyle name="Обычный 6" xfId="33"/>
    <cellStyle name="Обычный 7" xfId="34"/>
    <cellStyle name="Обычный 8" xfId="35"/>
    <cellStyle name="Обычный 9" xfId="36"/>
    <cellStyle name="Процентный 2" xfId="37"/>
    <cellStyle name="Процентный 3" xfId="39"/>
    <cellStyle name="Финансовый" xfId="46" builtinId="3"/>
    <cellStyle name="Финансовый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5"/>
  <sheetViews>
    <sheetView showGridLines="0" tabSelected="1" topLeftCell="B1" zoomScaleNormal="100" zoomScaleSheetLayoutView="100" workbookViewId="0">
      <selection activeCell="S160" sqref="S160"/>
    </sheetView>
  </sheetViews>
  <sheetFormatPr defaultColWidth="9.140625" defaultRowHeight="12.75" outlineLevelRow="2" outlineLevelCol="1" x14ac:dyDescent="0.2"/>
  <cols>
    <col min="1" max="1" width="1.5703125" style="1" hidden="1" customWidth="1"/>
    <col min="2" max="2" width="1.5703125" style="1" customWidth="1"/>
    <col min="3" max="3" width="6.140625" style="1" hidden="1" customWidth="1"/>
    <col min="4" max="4" width="0.140625" style="1" customWidth="1"/>
    <col min="5" max="7" width="2.7109375" style="1" customWidth="1"/>
    <col min="8" max="8" width="50.85546875" style="1" customWidth="1"/>
    <col min="9" max="9" width="11" style="1" hidden="1" customWidth="1"/>
    <col min="10" max="10" width="6.140625" style="1" customWidth="1"/>
    <col min="11" max="12" width="4.85546875" style="1" customWidth="1"/>
    <col min="13" max="15" width="13.42578125" style="1" hidden="1" customWidth="1" outlineLevel="1"/>
    <col min="16" max="16" width="13.42578125" style="1" customWidth="1" collapsed="1"/>
    <col min="17" max="18" width="13.42578125" style="1" customWidth="1"/>
    <col min="19" max="19" width="94.5703125" style="1" customWidth="1"/>
    <col min="20" max="20" width="1" style="1" customWidth="1"/>
    <col min="21" max="21" width="15.140625" style="1" customWidth="1"/>
    <col min="22" max="22" width="13" style="1" customWidth="1"/>
    <col min="23" max="247" width="9.140625" style="1" customWidth="1"/>
    <col min="248" max="16384" width="9.140625" style="1"/>
  </cols>
  <sheetData>
    <row r="1" spans="1:21" ht="13.5" customHeight="1" x14ac:dyDescent="0.25">
      <c r="A1" s="2"/>
      <c r="B1" s="2"/>
      <c r="C1" s="2"/>
      <c r="D1" s="2"/>
      <c r="E1" s="2"/>
      <c r="F1" s="2"/>
      <c r="G1" s="2"/>
      <c r="H1" s="10"/>
      <c r="I1" s="2"/>
      <c r="J1" s="2"/>
      <c r="K1" s="2"/>
      <c r="L1" s="2"/>
      <c r="M1" s="2"/>
      <c r="N1" s="2"/>
      <c r="O1" s="2"/>
      <c r="P1" s="2"/>
      <c r="Q1" s="2"/>
      <c r="R1" s="2"/>
      <c r="S1" s="55" t="s">
        <v>365</v>
      </c>
      <c r="T1" s="2"/>
    </row>
    <row r="2" spans="1:21" ht="13.5" customHeight="1" x14ac:dyDescent="0.25">
      <c r="A2" s="2"/>
      <c r="B2" s="2"/>
      <c r="C2" s="2"/>
      <c r="D2" s="2"/>
      <c r="E2" s="2"/>
      <c r="F2" s="2"/>
      <c r="G2" s="2"/>
      <c r="H2" s="9"/>
      <c r="I2" s="2"/>
      <c r="J2" s="2"/>
      <c r="K2" s="2"/>
      <c r="L2" s="2"/>
      <c r="M2" s="2"/>
      <c r="N2" s="2"/>
      <c r="O2" s="2"/>
      <c r="P2" s="2"/>
      <c r="Q2" s="2"/>
      <c r="R2" s="2"/>
      <c r="S2" s="55" t="s">
        <v>178</v>
      </c>
      <c r="T2" s="2"/>
    </row>
    <row r="3" spans="1:21" ht="12.75" customHeight="1" x14ac:dyDescent="0.2">
      <c r="A3" s="2"/>
      <c r="B3" s="2"/>
      <c r="C3" s="11"/>
      <c r="D3" s="11" t="s">
        <v>426</v>
      </c>
      <c r="E3" s="8"/>
      <c r="F3" s="8"/>
      <c r="G3" s="8"/>
      <c r="H3" s="8"/>
      <c r="I3" s="8"/>
      <c r="J3" s="2"/>
      <c r="K3" s="2"/>
      <c r="L3" s="8"/>
      <c r="M3" s="8"/>
      <c r="N3" s="8"/>
      <c r="O3" s="8"/>
      <c r="P3" s="8"/>
      <c r="Q3" s="8"/>
      <c r="R3" s="8"/>
      <c r="S3" s="56"/>
      <c r="T3" s="2"/>
    </row>
    <row r="4" spans="1:21" ht="12.75" customHeight="1" thickBot="1" x14ac:dyDescent="0.25">
      <c r="A4" s="2"/>
      <c r="B4" s="2"/>
      <c r="C4" s="11"/>
      <c r="D4" s="11"/>
      <c r="E4" s="8"/>
      <c r="F4" s="8"/>
      <c r="G4" s="8"/>
      <c r="H4" s="8"/>
      <c r="I4" s="8"/>
      <c r="J4" s="2"/>
      <c r="K4" s="2"/>
      <c r="L4" s="8"/>
      <c r="M4" s="8"/>
      <c r="N4" s="8"/>
      <c r="O4" s="8"/>
      <c r="P4" s="8"/>
      <c r="Q4" s="8"/>
      <c r="R4" s="8"/>
      <c r="S4" s="56"/>
      <c r="T4" s="2"/>
    </row>
    <row r="5" spans="1:21" ht="37.5" customHeight="1" thickBot="1" x14ac:dyDescent="0.25">
      <c r="A5" s="40"/>
      <c r="B5" s="8"/>
      <c r="D5" s="174" t="s">
        <v>347</v>
      </c>
      <c r="E5" s="175"/>
      <c r="F5" s="175"/>
      <c r="G5" s="175"/>
      <c r="H5" s="173"/>
      <c r="I5" s="141" t="s">
        <v>174</v>
      </c>
      <c r="J5" s="164" t="s">
        <v>175</v>
      </c>
      <c r="K5" s="165"/>
      <c r="L5" s="166"/>
      <c r="M5" s="173" t="s">
        <v>356</v>
      </c>
      <c r="N5" s="135" t="s">
        <v>176</v>
      </c>
      <c r="O5" s="142" t="s">
        <v>299</v>
      </c>
      <c r="P5" s="173" t="s">
        <v>360</v>
      </c>
      <c r="Q5" s="135" t="s">
        <v>176</v>
      </c>
      <c r="R5" s="142" t="s">
        <v>299</v>
      </c>
      <c r="S5" s="135" t="s">
        <v>177</v>
      </c>
      <c r="T5" s="8"/>
    </row>
    <row r="6" spans="1:21" ht="11.25" customHeight="1" thickBot="1" x14ac:dyDescent="0.25">
      <c r="A6" s="4"/>
      <c r="B6" s="4"/>
      <c r="C6" s="109"/>
      <c r="D6" s="176"/>
      <c r="E6" s="177"/>
      <c r="F6" s="177"/>
      <c r="G6" s="177"/>
      <c r="H6" s="178"/>
      <c r="I6" s="141"/>
      <c r="J6" s="167"/>
      <c r="K6" s="168"/>
      <c r="L6" s="169"/>
      <c r="M6" s="169"/>
      <c r="N6" s="136"/>
      <c r="O6" s="143"/>
      <c r="P6" s="169"/>
      <c r="Q6" s="136"/>
      <c r="R6" s="143"/>
      <c r="S6" s="136"/>
      <c r="T6" s="8"/>
    </row>
    <row r="7" spans="1:21" ht="53.25" customHeight="1" thickBot="1" x14ac:dyDescent="0.25">
      <c r="A7" s="4"/>
      <c r="B7" s="4"/>
      <c r="C7" s="110"/>
      <c r="D7" s="179"/>
      <c r="E7" s="180"/>
      <c r="F7" s="180"/>
      <c r="G7" s="180"/>
      <c r="H7" s="181"/>
      <c r="I7" s="141"/>
      <c r="J7" s="170"/>
      <c r="K7" s="171"/>
      <c r="L7" s="172"/>
      <c r="M7" s="172"/>
      <c r="N7" s="137"/>
      <c r="O7" s="144"/>
      <c r="P7" s="172"/>
      <c r="Q7" s="137"/>
      <c r="R7" s="144"/>
      <c r="S7" s="137"/>
      <c r="T7" s="8"/>
    </row>
    <row r="8" spans="1:21" ht="12.75" hidden="1" customHeight="1" x14ac:dyDescent="0.2">
      <c r="A8" s="4"/>
      <c r="B8" s="4"/>
      <c r="C8" s="104" t="s">
        <v>23</v>
      </c>
      <c r="D8" s="105"/>
      <c r="E8" s="106"/>
      <c r="F8" s="107" t="s">
        <v>18</v>
      </c>
      <c r="G8" s="6" t="s">
        <v>27</v>
      </c>
      <c r="H8" s="108" t="s">
        <v>40</v>
      </c>
      <c r="I8" s="108"/>
      <c r="J8" s="7"/>
      <c r="K8" s="7"/>
      <c r="L8" s="108"/>
      <c r="M8" s="6"/>
      <c r="N8" s="6"/>
      <c r="O8" s="6"/>
      <c r="P8" s="6"/>
      <c r="Q8" s="6"/>
      <c r="R8" s="6"/>
      <c r="S8" s="6"/>
      <c r="T8" s="8"/>
    </row>
    <row r="9" spans="1:21" ht="32.25" customHeight="1" x14ac:dyDescent="0.2">
      <c r="A9" s="72"/>
      <c r="B9" s="111"/>
      <c r="C9" s="73"/>
      <c r="D9" s="138" t="s">
        <v>319</v>
      </c>
      <c r="E9" s="139"/>
      <c r="F9" s="139"/>
      <c r="G9" s="139"/>
      <c r="H9" s="140"/>
      <c r="I9" s="47" t="s">
        <v>173</v>
      </c>
      <c r="J9" s="17" t="s">
        <v>13</v>
      </c>
      <c r="K9" s="17" t="s">
        <v>4</v>
      </c>
      <c r="L9" s="17" t="s">
        <v>4</v>
      </c>
      <c r="M9" s="58">
        <f>M10+M12+M14</f>
        <v>37944.199999999997</v>
      </c>
      <c r="N9" s="58">
        <f t="shared" ref="N9:O9" si="0">N10+N12+N14</f>
        <v>430.3</v>
      </c>
      <c r="O9" s="58">
        <f t="shared" si="0"/>
        <v>38374.5</v>
      </c>
      <c r="P9" s="92">
        <f>P10+P12+P14</f>
        <v>38374.5</v>
      </c>
      <c r="Q9" s="92">
        <f t="shared" ref="Q9:R9" si="1">Q10+Q12+Q14</f>
        <v>236.30000000000007</v>
      </c>
      <c r="R9" s="92">
        <f t="shared" si="1"/>
        <v>38610.799999999996</v>
      </c>
      <c r="S9" s="29"/>
      <c r="T9" s="8"/>
      <c r="U9" s="35"/>
    </row>
    <row r="10" spans="1:21" ht="51.75" customHeight="1" x14ac:dyDescent="0.2">
      <c r="A10" s="41"/>
      <c r="B10" s="4"/>
      <c r="C10" s="5"/>
      <c r="D10" s="124" t="s">
        <v>346</v>
      </c>
      <c r="E10" s="122"/>
      <c r="F10" s="122"/>
      <c r="G10" s="122"/>
      <c r="H10" s="122"/>
      <c r="I10" s="48" t="s">
        <v>172</v>
      </c>
      <c r="J10" s="13" t="s">
        <v>13</v>
      </c>
      <c r="K10" s="13" t="s">
        <v>23</v>
      </c>
      <c r="L10" s="13" t="s">
        <v>4</v>
      </c>
      <c r="M10" s="61">
        <f>SUM(M11)</f>
        <v>1500</v>
      </c>
      <c r="N10" s="61">
        <f t="shared" ref="N10:R10" si="2">SUM(N11)</f>
        <v>0</v>
      </c>
      <c r="O10" s="61">
        <f t="shared" si="2"/>
        <v>1500</v>
      </c>
      <c r="P10" s="93">
        <f>SUM(P11)</f>
        <v>1500</v>
      </c>
      <c r="Q10" s="93">
        <f t="shared" si="2"/>
        <v>280.60000000000002</v>
      </c>
      <c r="R10" s="93">
        <f t="shared" si="2"/>
        <v>1780.6</v>
      </c>
      <c r="S10" s="22" t="s">
        <v>388</v>
      </c>
      <c r="T10" s="8"/>
      <c r="U10" s="35"/>
    </row>
    <row r="11" spans="1:21" ht="63.75" hidden="1" customHeight="1" outlineLevel="1" x14ac:dyDescent="0.2">
      <c r="A11" s="41"/>
      <c r="B11" s="4"/>
      <c r="C11" s="5"/>
      <c r="D11" s="24"/>
      <c r="E11" s="120" t="s">
        <v>183</v>
      </c>
      <c r="F11" s="116"/>
      <c r="G11" s="116"/>
      <c r="H11" s="116"/>
      <c r="I11" s="49" t="s">
        <v>172</v>
      </c>
      <c r="J11" s="14" t="s">
        <v>13</v>
      </c>
      <c r="K11" s="14" t="s">
        <v>23</v>
      </c>
      <c r="L11" s="14" t="s">
        <v>13</v>
      </c>
      <c r="M11" s="60">
        <v>1500</v>
      </c>
      <c r="N11" s="60"/>
      <c r="O11" s="60">
        <f>SUM(M11:N11)</f>
        <v>1500</v>
      </c>
      <c r="P11" s="94">
        <v>1500</v>
      </c>
      <c r="Q11" s="94">
        <f>115.1+165.5</f>
        <v>280.60000000000002</v>
      </c>
      <c r="R11" s="94">
        <f>SUM(P11:Q11)</f>
        <v>1780.6</v>
      </c>
      <c r="S11" s="23" t="s">
        <v>388</v>
      </c>
      <c r="T11" s="8"/>
      <c r="U11" s="35"/>
    </row>
    <row r="12" spans="1:21" ht="54" customHeight="1" collapsed="1" x14ac:dyDescent="0.2">
      <c r="A12" s="41"/>
      <c r="B12" s="4"/>
      <c r="C12" s="5"/>
      <c r="D12" s="124" t="s">
        <v>328</v>
      </c>
      <c r="E12" s="122"/>
      <c r="F12" s="122"/>
      <c r="G12" s="122"/>
      <c r="H12" s="122"/>
      <c r="I12" s="48" t="s">
        <v>171</v>
      </c>
      <c r="J12" s="13" t="s">
        <v>13</v>
      </c>
      <c r="K12" s="13" t="s">
        <v>18</v>
      </c>
      <c r="L12" s="13" t="s">
        <v>4</v>
      </c>
      <c r="M12" s="61">
        <f t="shared" ref="M12:R12" si="3">M13</f>
        <v>200</v>
      </c>
      <c r="N12" s="61">
        <f t="shared" si="3"/>
        <v>0</v>
      </c>
      <c r="O12" s="61">
        <f t="shared" si="3"/>
        <v>200</v>
      </c>
      <c r="P12" s="93">
        <f t="shared" si="3"/>
        <v>200</v>
      </c>
      <c r="Q12" s="93">
        <f t="shared" si="3"/>
        <v>347.8</v>
      </c>
      <c r="R12" s="93">
        <f t="shared" si="3"/>
        <v>547.79999999999995</v>
      </c>
      <c r="S12" s="22" t="s">
        <v>387</v>
      </c>
      <c r="T12" s="8"/>
      <c r="U12" s="35"/>
    </row>
    <row r="13" spans="1:21" ht="53.25" hidden="1" customHeight="1" outlineLevel="1" x14ac:dyDescent="0.2">
      <c r="A13" s="41"/>
      <c r="B13" s="4"/>
      <c r="C13" s="5"/>
      <c r="D13" s="24"/>
      <c r="E13" s="116" t="s">
        <v>366</v>
      </c>
      <c r="F13" s="116"/>
      <c r="G13" s="116"/>
      <c r="H13" s="116"/>
      <c r="I13" s="49" t="s">
        <v>171</v>
      </c>
      <c r="J13" s="14" t="s">
        <v>13</v>
      </c>
      <c r="K13" s="14" t="s">
        <v>18</v>
      </c>
      <c r="L13" s="14" t="s">
        <v>13</v>
      </c>
      <c r="M13" s="60">
        <v>200</v>
      </c>
      <c r="N13" s="60"/>
      <c r="O13" s="60">
        <f>SUM(M13:N13)</f>
        <v>200</v>
      </c>
      <c r="P13" s="94">
        <v>200</v>
      </c>
      <c r="Q13" s="94">
        <f>-2.2+350</f>
        <v>347.8</v>
      </c>
      <c r="R13" s="94">
        <f>SUM(P13:Q13)</f>
        <v>547.79999999999995</v>
      </c>
      <c r="S13" s="23" t="s">
        <v>387</v>
      </c>
      <c r="T13" s="8"/>
      <c r="U13" s="35"/>
    </row>
    <row r="14" spans="1:21" ht="81" customHeight="1" collapsed="1" x14ac:dyDescent="0.2">
      <c r="A14" s="41"/>
      <c r="B14" s="4"/>
      <c r="C14" s="5"/>
      <c r="D14" s="123" t="s">
        <v>184</v>
      </c>
      <c r="E14" s="122"/>
      <c r="F14" s="122"/>
      <c r="G14" s="122"/>
      <c r="H14" s="122"/>
      <c r="I14" s="48" t="s">
        <v>170</v>
      </c>
      <c r="J14" s="13" t="s">
        <v>13</v>
      </c>
      <c r="K14" s="13" t="s">
        <v>27</v>
      </c>
      <c r="L14" s="13" t="s">
        <v>4</v>
      </c>
      <c r="M14" s="61">
        <f t="shared" ref="M14:O14" si="4">M15+M16</f>
        <v>36244.199999999997</v>
      </c>
      <c r="N14" s="61">
        <f t="shared" si="4"/>
        <v>430.3</v>
      </c>
      <c r="O14" s="61">
        <f t="shared" si="4"/>
        <v>36674.5</v>
      </c>
      <c r="P14" s="93">
        <f t="shared" ref="P14:R14" si="5">P15+P16</f>
        <v>36674.5</v>
      </c>
      <c r="Q14" s="93">
        <f t="shared" si="5"/>
        <v>-392.1</v>
      </c>
      <c r="R14" s="93">
        <f t="shared" si="5"/>
        <v>36282.399999999994</v>
      </c>
      <c r="S14" s="22" t="s">
        <v>389</v>
      </c>
      <c r="T14" s="8"/>
      <c r="U14" s="35"/>
    </row>
    <row r="15" spans="1:21" ht="46.5" hidden="1" customHeight="1" outlineLevel="1" x14ac:dyDescent="0.2">
      <c r="A15" s="41"/>
      <c r="B15" s="4"/>
      <c r="C15" s="5"/>
      <c r="D15" s="24"/>
      <c r="E15" s="120" t="s">
        <v>185</v>
      </c>
      <c r="F15" s="116"/>
      <c r="G15" s="116"/>
      <c r="H15" s="116"/>
      <c r="I15" s="49" t="s">
        <v>169</v>
      </c>
      <c r="J15" s="14" t="s">
        <v>13</v>
      </c>
      <c r="K15" s="14" t="s">
        <v>27</v>
      </c>
      <c r="L15" s="14" t="s">
        <v>13</v>
      </c>
      <c r="M15" s="60">
        <v>36044.199999999997</v>
      </c>
      <c r="N15" s="60"/>
      <c r="O15" s="60">
        <f>SUM(M15:N15)</f>
        <v>36044.199999999997</v>
      </c>
      <c r="P15" s="94">
        <f>36044.2-10</f>
        <v>36034.199999999997</v>
      </c>
      <c r="Q15" s="94">
        <v>-112.9</v>
      </c>
      <c r="R15" s="94">
        <f>SUM(P15:Q15)</f>
        <v>35921.299999999996</v>
      </c>
      <c r="S15" s="23" t="s">
        <v>386</v>
      </c>
      <c r="T15" s="8"/>
      <c r="U15" s="35"/>
    </row>
    <row r="16" spans="1:21" ht="62.25" hidden="1" customHeight="1" outlineLevel="1" x14ac:dyDescent="0.2">
      <c r="A16" s="41"/>
      <c r="B16" s="4"/>
      <c r="C16" s="5"/>
      <c r="D16" s="24"/>
      <c r="E16" s="120" t="s">
        <v>186</v>
      </c>
      <c r="F16" s="116"/>
      <c r="G16" s="116"/>
      <c r="H16" s="116"/>
      <c r="I16" s="49" t="s">
        <v>168</v>
      </c>
      <c r="J16" s="14" t="s">
        <v>13</v>
      </c>
      <c r="K16" s="14" t="s">
        <v>27</v>
      </c>
      <c r="L16" s="14" t="s">
        <v>11</v>
      </c>
      <c r="M16" s="60">
        <v>200</v>
      </c>
      <c r="N16" s="60">
        <v>430.3</v>
      </c>
      <c r="O16" s="60">
        <f>SUM(M16:N16)</f>
        <v>630.29999999999995</v>
      </c>
      <c r="P16" s="94">
        <f>630.3+10</f>
        <v>640.29999999999995</v>
      </c>
      <c r="Q16" s="94">
        <v>-279.2</v>
      </c>
      <c r="R16" s="94">
        <f>SUM(P16:Q16)</f>
        <v>361.09999999999997</v>
      </c>
      <c r="S16" s="23" t="s">
        <v>385</v>
      </c>
      <c r="T16" s="8"/>
      <c r="U16" s="35"/>
    </row>
    <row r="17" spans="1:21" ht="31.5" customHeight="1" collapsed="1" x14ac:dyDescent="0.2">
      <c r="A17" s="41"/>
      <c r="B17" s="8"/>
      <c r="C17" s="21"/>
      <c r="D17" s="117" t="s">
        <v>320</v>
      </c>
      <c r="E17" s="129"/>
      <c r="F17" s="129"/>
      <c r="G17" s="129"/>
      <c r="H17" s="130"/>
      <c r="I17" s="50" t="s">
        <v>167</v>
      </c>
      <c r="J17" s="18" t="s">
        <v>11</v>
      </c>
      <c r="K17" s="18" t="s">
        <v>4</v>
      </c>
      <c r="L17" s="18" t="s">
        <v>4</v>
      </c>
      <c r="M17" s="57">
        <f>M18+M19+M20+M21</f>
        <v>2430.1999999999998</v>
      </c>
      <c r="N17" s="62">
        <f>SUM(N18+N19+N20+N21)</f>
        <v>0</v>
      </c>
      <c r="O17" s="57">
        <f>SUM(M17:N17)</f>
        <v>2430.1999999999998</v>
      </c>
      <c r="P17" s="95">
        <f>P18+P19+P20+P21</f>
        <v>2430.1999999999998</v>
      </c>
      <c r="Q17" s="96">
        <f>SUM(Q18+Q19+Q20+Q21)</f>
        <v>0</v>
      </c>
      <c r="R17" s="95">
        <f>SUM(P17:Q17)</f>
        <v>2430.1999999999998</v>
      </c>
      <c r="S17" s="31"/>
      <c r="T17" s="8"/>
      <c r="U17" s="35"/>
    </row>
    <row r="18" spans="1:21" ht="39.75" hidden="1" customHeight="1" outlineLevel="1" x14ac:dyDescent="0.2">
      <c r="A18" s="41"/>
      <c r="B18" s="4"/>
      <c r="C18" s="5"/>
      <c r="D18" s="24"/>
      <c r="E18" s="116" t="s">
        <v>329</v>
      </c>
      <c r="F18" s="116"/>
      <c r="G18" s="116"/>
      <c r="H18" s="116"/>
      <c r="I18" s="49" t="s">
        <v>166</v>
      </c>
      <c r="J18" s="14" t="s">
        <v>11</v>
      </c>
      <c r="K18" s="14" t="s">
        <v>2</v>
      </c>
      <c r="L18" s="14" t="s">
        <v>13</v>
      </c>
      <c r="M18" s="60">
        <v>1920.2</v>
      </c>
      <c r="N18" s="60"/>
      <c r="O18" s="60">
        <f>SUM(M18:N18)</f>
        <v>1920.2</v>
      </c>
      <c r="P18" s="94">
        <v>1920.2</v>
      </c>
      <c r="Q18" s="94">
        <v>-0.05</v>
      </c>
      <c r="R18" s="94">
        <f>SUM(P18:Q18)</f>
        <v>1920.15</v>
      </c>
      <c r="S18" s="23" t="s">
        <v>390</v>
      </c>
      <c r="T18" s="8"/>
      <c r="U18" s="35"/>
    </row>
    <row r="19" spans="1:21" ht="32.25" hidden="1" customHeight="1" outlineLevel="1" x14ac:dyDescent="0.2">
      <c r="A19" s="41"/>
      <c r="B19" s="4"/>
      <c r="C19" s="5"/>
      <c r="D19" s="24"/>
      <c r="E19" s="120" t="s">
        <v>187</v>
      </c>
      <c r="F19" s="116"/>
      <c r="G19" s="116"/>
      <c r="H19" s="116"/>
      <c r="I19" s="49" t="s">
        <v>165</v>
      </c>
      <c r="J19" s="14" t="s">
        <v>11</v>
      </c>
      <c r="K19" s="14" t="s">
        <v>2</v>
      </c>
      <c r="L19" s="14" t="s">
        <v>11</v>
      </c>
      <c r="M19" s="60">
        <v>0</v>
      </c>
      <c r="N19" s="60"/>
      <c r="O19" s="60">
        <f t="shared" ref="O19:O21" si="6">SUM(M19:N19)</f>
        <v>0</v>
      </c>
      <c r="P19" s="94">
        <v>0</v>
      </c>
      <c r="Q19" s="94"/>
      <c r="R19" s="94">
        <f t="shared" ref="R19:R21" si="7">SUM(P19:Q19)</f>
        <v>0</v>
      </c>
      <c r="S19" s="23"/>
      <c r="T19" s="8"/>
      <c r="U19" s="35"/>
    </row>
    <row r="20" spans="1:21" ht="51" hidden="1" customHeight="1" outlineLevel="1" x14ac:dyDescent="0.2">
      <c r="A20" s="41"/>
      <c r="B20" s="4"/>
      <c r="C20" s="5"/>
      <c r="D20" s="24"/>
      <c r="E20" s="120" t="s">
        <v>188</v>
      </c>
      <c r="F20" s="116"/>
      <c r="G20" s="116"/>
      <c r="H20" s="116"/>
      <c r="I20" s="49" t="s">
        <v>164</v>
      </c>
      <c r="J20" s="14" t="s">
        <v>11</v>
      </c>
      <c r="K20" s="14" t="s">
        <v>2</v>
      </c>
      <c r="L20" s="14" t="s">
        <v>26</v>
      </c>
      <c r="M20" s="60">
        <v>500</v>
      </c>
      <c r="N20" s="60"/>
      <c r="O20" s="60">
        <f t="shared" si="6"/>
        <v>500</v>
      </c>
      <c r="P20" s="94">
        <v>500</v>
      </c>
      <c r="Q20" s="94"/>
      <c r="R20" s="94">
        <f t="shared" si="7"/>
        <v>500</v>
      </c>
      <c r="S20" s="23"/>
      <c r="T20" s="8"/>
      <c r="U20" s="35"/>
    </row>
    <row r="21" spans="1:21" ht="33.75" hidden="1" customHeight="1" outlineLevel="1" x14ac:dyDescent="0.2">
      <c r="A21" s="41"/>
      <c r="B21" s="4"/>
      <c r="C21" s="5"/>
      <c r="D21" s="24"/>
      <c r="E21" s="116" t="s">
        <v>330</v>
      </c>
      <c r="F21" s="116"/>
      <c r="G21" s="116"/>
      <c r="H21" s="116"/>
      <c r="I21" s="49" t="s">
        <v>163</v>
      </c>
      <c r="J21" s="14" t="s">
        <v>11</v>
      </c>
      <c r="K21" s="14" t="s">
        <v>2</v>
      </c>
      <c r="L21" s="14" t="s">
        <v>10</v>
      </c>
      <c r="M21" s="60">
        <v>10</v>
      </c>
      <c r="N21" s="60"/>
      <c r="O21" s="60">
        <f t="shared" si="6"/>
        <v>10</v>
      </c>
      <c r="P21" s="94">
        <v>10</v>
      </c>
      <c r="Q21" s="94">
        <v>0.05</v>
      </c>
      <c r="R21" s="94">
        <f t="shared" si="7"/>
        <v>10.050000000000001</v>
      </c>
      <c r="S21" s="23" t="s">
        <v>391</v>
      </c>
      <c r="T21" s="8"/>
      <c r="U21" s="35"/>
    </row>
    <row r="22" spans="1:21" ht="30.75" customHeight="1" collapsed="1" x14ac:dyDescent="0.2">
      <c r="A22" s="41"/>
      <c r="B22" s="8"/>
      <c r="C22" s="21"/>
      <c r="D22" s="117" t="s">
        <v>321</v>
      </c>
      <c r="E22" s="129"/>
      <c r="F22" s="129"/>
      <c r="G22" s="129"/>
      <c r="H22" s="130"/>
      <c r="I22" s="50" t="s">
        <v>162</v>
      </c>
      <c r="J22" s="18" t="s">
        <v>26</v>
      </c>
      <c r="K22" s="18" t="s">
        <v>4</v>
      </c>
      <c r="L22" s="18" t="s">
        <v>4</v>
      </c>
      <c r="M22" s="62">
        <f>M23+M24+M25</f>
        <v>3303.8</v>
      </c>
      <c r="N22" s="62">
        <f>SUM(N23+N24+N25)</f>
        <v>-208.7</v>
      </c>
      <c r="O22" s="57">
        <f t="shared" ref="O22:O28" si="8">SUM(M22:N22)</f>
        <v>3095.1000000000004</v>
      </c>
      <c r="P22" s="96">
        <f>P23+P24+P25</f>
        <v>3095.1</v>
      </c>
      <c r="Q22" s="96">
        <f>SUM(Q23+Q24+Q25)</f>
        <v>0</v>
      </c>
      <c r="R22" s="95">
        <f t="shared" ref="R22:R26" si="9">SUM(P22:Q22)</f>
        <v>3095.1</v>
      </c>
      <c r="S22" s="31"/>
      <c r="T22" s="8"/>
      <c r="U22" s="35"/>
    </row>
    <row r="23" spans="1:21" ht="39" customHeight="1" x14ac:dyDescent="0.2">
      <c r="A23" s="41"/>
      <c r="B23" s="4"/>
      <c r="C23" s="5"/>
      <c r="D23" s="24"/>
      <c r="E23" s="121" t="s">
        <v>189</v>
      </c>
      <c r="F23" s="122"/>
      <c r="G23" s="122"/>
      <c r="H23" s="122"/>
      <c r="I23" s="48" t="s">
        <v>161</v>
      </c>
      <c r="J23" s="13" t="s">
        <v>26</v>
      </c>
      <c r="K23" s="13" t="s">
        <v>2</v>
      </c>
      <c r="L23" s="13" t="s">
        <v>160</v>
      </c>
      <c r="M23" s="61">
        <v>3303.8</v>
      </c>
      <c r="N23" s="61">
        <v>-208.7</v>
      </c>
      <c r="O23" s="61">
        <f t="shared" si="8"/>
        <v>3095.1000000000004</v>
      </c>
      <c r="P23" s="93">
        <v>3095.1</v>
      </c>
      <c r="Q23" s="93"/>
      <c r="R23" s="93">
        <f t="shared" si="9"/>
        <v>3095.1</v>
      </c>
      <c r="S23" s="22"/>
      <c r="T23" s="8"/>
      <c r="U23" s="35"/>
    </row>
    <row r="24" spans="1:21" ht="23.25" customHeight="1" x14ac:dyDescent="0.2">
      <c r="A24" s="41"/>
      <c r="B24" s="4"/>
      <c r="C24" s="5"/>
      <c r="D24" s="24"/>
      <c r="E24" s="121" t="s">
        <v>190</v>
      </c>
      <c r="F24" s="122"/>
      <c r="G24" s="122"/>
      <c r="H24" s="122"/>
      <c r="I24" s="48" t="s">
        <v>159</v>
      </c>
      <c r="J24" s="13" t="s">
        <v>26</v>
      </c>
      <c r="K24" s="13" t="s">
        <v>2</v>
      </c>
      <c r="L24" s="13" t="s">
        <v>158</v>
      </c>
      <c r="M24" s="61">
        <v>0</v>
      </c>
      <c r="N24" s="61"/>
      <c r="O24" s="61">
        <f t="shared" si="8"/>
        <v>0</v>
      </c>
      <c r="P24" s="93">
        <v>0</v>
      </c>
      <c r="Q24" s="93"/>
      <c r="R24" s="93">
        <f t="shared" si="9"/>
        <v>0</v>
      </c>
      <c r="S24" s="22"/>
      <c r="T24" s="8"/>
      <c r="U24" s="35"/>
    </row>
    <row r="25" spans="1:21" ht="52.5" customHeight="1" x14ac:dyDescent="0.2">
      <c r="A25" s="41"/>
      <c r="B25" s="8"/>
      <c r="C25" s="33"/>
      <c r="D25" s="24"/>
      <c r="E25" s="182" t="s">
        <v>302</v>
      </c>
      <c r="F25" s="182"/>
      <c r="G25" s="182"/>
      <c r="H25" s="183"/>
      <c r="I25" s="48"/>
      <c r="J25" s="34" t="s">
        <v>26</v>
      </c>
      <c r="K25" s="34">
        <v>0</v>
      </c>
      <c r="L25" s="34" t="s">
        <v>7</v>
      </c>
      <c r="M25" s="61">
        <v>0</v>
      </c>
      <c r="N25" s="61"/>
      <c r="O25" s="61">
        <f t="shared" si="8"/>
        <v>0</v>
      </c>
      <c r="P25" s="93">
        <v>0</v>
      </c>
      <c r="Q25" s="93"/>
      <c r="R25" s="93">
        <f t="shared" si="9"/>
        <v>0</v>
      </c>
      <c r="S25" s="22"/>
      <c r="T25" s="8"/>
      <c r="U25" s="35"/>
    </row>
    <row r="26" spans="1:21" ht="28.5" customHeight="1" x14ac:dyDescent="0.2">
      <c r="A26" s="41"/>
      <c r="B26" s="8"/>
      <c r="C26" s="21"/>
      <c r="D26" s="117" t="s">
        <v>306</v>
      </c>
      <c r="E26" s="129"/>
      <c r="F26" s="129"/>
      <c r="G26" s="129"/>
      <c r="H26" s="130"/>
      <c r="I26" s="50" t="s">
        <v>157</v>
      </c>
      <c r="J26" s="18" t="s">
        <v>10</v>
      </c>
      <c r="K26" s="18" t="s">
        <v>4</v>
      </c>
      <c r="L26" s="18" t="s">
        <v>4</v>
      </c>
      <c r="M26" s="62">
        <f>M27+M29+M32</f>
        <v>2240</v>
      </c>
      <c r="N26" s="62">
        <f>N27+N29+N32</f>
        <v>3300</v>
      </c>
      <c r="O26" s="57">
        <f t="shared" si="8"/>
        <v>5540</v>
      </c>
      <c r="P26" s="96">
        <f>P27+P29+P32</f>
        <v>5540</v>
      </c>
      <c r="Q26" s="96">
        <f>Q27+Q29+Q32</f>
        <v>0</v>
      </c>
      <c r="R26" s="95">
        <f t="shared" si="9"/>
        <v>5540</v>
      </c>
      <c r="S26" s="30"/>
      <c r="T26" s="8"/>
      <c r="U26" s="35"/>
    </row>
    <row r="27" spans="1:21" ht="52.5" customHeight="1" x14ac:dyDescent="0.2">
      <c r="A27" s="41"/>
      <c r="B27" s="4"/>
      <c r="C27" s="5"/>
      <c r="D27" s="123" t="s">
        <v>191</v>
      </c>
      <c r="E27" s="122"/>
      <c r="F27" s="122"/>
      <c r="G27" s="122"/>
      <c r="H27" s="122"/>
      <c r="I27" s="48" t="s">
        <v>156</v>
      </c>
      <c r="J27" s="13" t="s">
        <v>10</v>
      </c>
      <c r="K27" s="13" t="s">
        <v>23</v>
      </c>
      <c r="L27" s="13" t="s">
        <v>4</v>
      </c>
      <c r="M27" s="61">
        <f>M28</f>
        <v>1500</v>
      </c>
      <c r="N27" s="61">
        <f t="shared" ref="N27:R27" si="10">N28</f>
        <v>3300</v>
      </c>
      <c r="O27" s="61">
        <f t="shared" si="10"/>
        <v>4800</v>
      </c>
      <c r="P27" s="93">
        <f>P28</f>
        <v>4800</v>
      </c>
      <c r="Q27" s="93">
        <f t="shared" si="10"/>
        <v>0</v>
      </c>
      <c r="R27" s="93">
        <f t="shared" si="10"/>
        <v>4800</v>
      </c>
      <c r="S27" s="22"/>
      <c r="T27" s="8"/>
      <c r="U27" s="35"/>
    </row>
    <row r="28" spans="1:21" ht="63" hidden="1" customHeight="1" outlineLevel="1" x14ac:dyDescent="0.2">
      <c r="A28" s="41"/>
      <c r="B28" s="4"/>
      <c r="C28" s="5"/>
      <c r="D28" s="24"/>
      <c r="E28" s="120" t="s">
        <v>296</v>
      </c>
      <c r="F28" s="116"/>
      <c r="G28" s="116"/>
      <c r="H28" s="116"/>
      <c r="I28" s="49" t="s">
        <v>156</v>
      </c>
      <c r="J28" s="14" t="s">
        <v>10</v>
      </c>
      <c r="K28" s="14" t="s">
        <v>23</v>
      </c>
      <c r="L28" s="14" t="s">
        <v>13</v>
      </c>
      <c r="M28" s="60">
        <v>1500</v>
      </c>
      <c r="N28" s="60">
        <f>3300</f>
        <v>3300</v>
      </c>
      <c r="O28" s="60">
        <f t="shared" si="8"/>
        <v>4800</v>
      </c>
      <c r="P28" s="94">
        <v>4800</v>
      </c>
      <c r="Q28" s="94"/>
      <c r="R28" s="94">
        <f t="shared" ref="R28" si="11">SUM(P28:Q28)</f>
        <v>4800</v>
      </c>
      <c r="S28" s="23"/>
      <c r="T28" s="8"/>
      <c r="U28" s="35"/>
    </row>
    <row r="29" spans="1:21" ht="24" customHeight="1" collapsed="1" x14ac:dyDescent="0.2">
      <c r="A29" s="41"/>
      <c r="B29" s="4"/>
      <c r="C29" s="5"/>
      <c r="D29" s="123" t="s">
        <v>194</v>
      </c>
      <c r="E29" s="122"/>
      <c r="F29" s="122"/>
      <c r="G29" s="122"/>
      <c r="H29" s="122"/>
      <c r="I29" s="48" t="s">
        <v>155</v>
      </c>
      <c r="J29" s="13" t="s">
        <v>10</v>
      </c>
      <c r="K29" s="13" t="s">
        <v>18</v>
      </c>
      <c r="L29" s="13" t="s">
        <v>4</v>
      </c>
      <c r="M29" s="61">
        <f>M30+M31</f>
        <v>20</v>
      </c>
      <c r="N29" s="61">
        <f>N30+N31</f>
        <v>0</v>
      </c>
      <c r="O29" s="61">
        <f>SUM(M29:N29)</f>
        <v>20</v>
      </c>
      <c r="P29" s="93">
        <f>P30+P31</f>
        <v>20</v>
      </c>
      <c r="Q29" s="93">
        <f>Q30+Q31</f>
        <v>0</v>
      </c>
      <c r="R29" s="93">
        <f>SUM(P29:Q29)</f>
        <v>20</v>
      </c>
      <c r="S29" s="22"/>
      <c r="T29" s="8"/>
      <c r="U29" s="35"/>
    </row>
    <row r="30" spans="1:21" ht="24.75" hidden="1" customHeight="1" outlineLevel="1" x14ac:dyDescent="0.2">
      <c r="A30" s="41"/>
      <c r="B30" s="4"/>
      <c r="C30" s="5"/>
      <c r="D30" s="24"/>
      <c r="E30" s="120" t="s">
        <v>192</v>
      </c>
      <c r="F30" s="116"/>
      <c r="G30" s="116"/>
      <c r="H30" s="116"/>
      <c r="I30" s="49" t="s">
        <v>154</v>
      </c>
      <c r="J30" s="14" t="s">
        <v>10</v>
      </c>
      <c r="K30" s="14" t="s">
        <v>18</v>
      </c>
      <c r="L30" s="14" t="s">
        <v>11</v>
      </c>
      <c r="M30" s="60">
        <v>10</v>
      </c>
      <c r="N30" s="60"/>
      <c r="O30" s="60">
        <f t="shared" ref="O30:O33" si="12">SUM(M30:N30)</f>
        <v>10</v>
      </c>
      <c r="P30" s="94">
        <v>10</v>
      </c>
      <c r="Q30" s="94"/>
      <c r="R30" s="94">
        <f t="shared" ref="R30:R31" si="13">SUM(P30:Q30)</f>
        <v>10</v>
      </c>
      <c r="S30" s="23"/>
      <c r="T30" s="8"/>
      <c r="U30" s="35"/>
    </row>
    <row r="31" spans="1:21" ht="42.75" hidden="1" customHeight="1" outlineLevel="1" x14ac:dyDescent="0.2">
      <c r="A31" s="41"/>
      <c r="B31" s="4"/>
      <c r="C31" s="5"/>
      <c r="D31" s="24"/>
      <c r="E31" s="120" t="s">
        <v>193</v>
      </c>
      <c r="F31" s="116"/>
      <c r="G31" s="116"/>
      <c r="H31" s="116"/>
      <c r="I31" s="49" t="s">
        <v>153</v>
      </c>
      <c r="J31" s="14" t="s">
        <v>10</v>
      </c>
      <c r="K31" s="14" t="s">
        <v>18</v>
      </c>
      <c r="L31" s="14" t="s">
        <v>26</v>
      </c>
      <c r="M31" s="60">
        <v>10</v>
      </c>
      <c r="N31" s="60"/>
      <c r="O31" s="60">
        <f t="shared" si="12"/>
        <v>10</v>
      </c>
      <c r="P31" s="94">
        <v>10</v>
      </c>
      <c r="Q31" s="94"/>
      <c r="R31" s="94">
        <f t="shared" si="13"/>
        <v>10</v>
      </c>
      <c r="S31" s="23"/>
      <c r="T31" s="8"/>
      <c r="U31" s="35"/>
    </row>
    <row r="32" spans="1:21" ht="37.5" customHeight="1" collapsed="1" x14ac:dyDescent="0.2">
      <c r="A32" s="41"/>
      <c r="B32" s="4"/>
      <c r="C32" s="5"/>
      <c r="D32" s="123" t="s">
        <v>195</v>
      </c>
      <c r="E32" s="122"/>
      <c r="F32" s="122"/>
      <c r="G32" s="122"/>
      <c r="H32" s="122"/>
      <c r="I32" s="48" t="s">
        <v>152</v>
      </c>
      <c r="J32" s="13" t="s">
        <v>10</v>
      </c>
      <c r="K32" s="13" t="s">
        <v>27</v>
      </c>
      <c r="L32" s="13" t="s">
        <v>4</v>
      </c>
      <c r="M32" s="61">
        <f>M33</f>
        <v>720</v>
      </c>
      <c r="N32" s="61">
        <f t="shared" ref="N32:R32" si="14">N33</f>
        <v>0</v>
      </c>
      <c r="O32" s="61">
        <f t="shared" si="14"/>
        <v>720</v>
      </c>
      <c r="P32" s="93">
        <f>P33</f>
        <v>720</v>
      </c>
      <c r="Q32" s="93">
        <f t="shared" si="14"/>
        <v>0</v>
      </c>
      <c r="R32" s="93">
        <f t="shared" si="14"/>
        <v>720</v>
      </c>
      <c r="S32" s="22"/>
      <c r="T32" s="8"/>
      <c r="U32" s="35"/>
    </row>
    <row r="33" spans="1:21" ht="84" hidden="1" customHeight="1" outlineLevel="1" x14ac:dyDescent="0.2">
      <c r="A33" s="41"/>
      <c r="B33" s="4"/>
      <c r="C33" s="5"/>
      <c r="D33" s="24"/>
      <c r="E33" s="116" t="s">
        <v>311</v>
      </c>
      <c r="F33" s="116"/>
      <c r="G33" s="116"/>
      <c r="H33" s="116"/>
      <c r="I33" s="49" t="s">
        <v>152</v>
      </c>
      <c r="J33" s="14" t="s">
        <v>10</v>
      </c>
      <c r="K33" s="14" t="s">
        <v>27</v>
      </c>
      <c r="L33" s="14" t="s">
        <v>13</v>
      </c>
      <c r="M33" s="60">
        <v>720</v>
      </c>
      <c r="N33" s="60"/>
      <c r="O33" s="60">
        <f t="shared" si="12"/>
        <v>720</v>
      </c>
      <c r="P33" s="94">
        <v>720</v>
      </c>
      <c r="Q33" s="94"/>
      <c r="R33" s="94">
        <f t="shared" ref="R33" si="15">SUM(P33:Q33)</f>
        <v>720</v>
      </c>
      <c r="S33" s="23"/>
      <c r="T33" s="8"/>
      <c r="U33" s="35"/>
    </row>
    <row r="34" spans="1:21" ht="27.75" customHeight="1" collapsed="1" x14ac:dyDescent="0.2">
      <c r="A34" s="41"/>
      <c r="B34" s="8"/>
      <c r="C34" s="21"/>
      <c r="D34" s="117" t="s">
        <v>331</v>
      </c>
      <c r="E34" s="129"/>
      <c r="F34" s="129"/>
      <c r="G34" s="129"/>
      <c r="H34" s="130"/>
      <c r="I34" s="50" t="s">
        <v>151</v>
      </c>
      <c r="J34" s="18" t="s">
        <v>7</v>
      </c>
      <c r="K34" s="18" t="s">
        <v>4</v>
      </c>
      <c r="L34" s="18" t="s">
        <v>4</v>
      </c>
      <c r="M34" s="62">
        <f>M35+M37</f>
        <v>38181.9</v>
      </c>
      <c r="N34" s="62">
        <f>N35+N37</f>
        <v>0</v>
      </c>
      <c r="O34" s="57">
        <f>SUM(M34:N34)</f>
        <v>38181.9</v>
      </c>
      <c r="P34" s="96">
        <f>P35+P37</f>
        <v>38181.9</v>
      </c>
      <c r="Q34" s="96">
        <f>Q35+Q37</f>
        <v>42.4</v>
      </c>
      <c r="R34" s="95">
        <f>SUM(P34:Q34)</f>
        <v>38224.300000000003</v>
      </c>
      <c r="S34" s="30"/>
      <c r="T34" s="8"/>
      <c r="U34" s="35"/>
    </row>
    <row r="35" spans="1:21" ht="39.75" customHeight="1" x14ac:dyDescent="0.2">
      <c r="A35" s="41"/>
      <c r="B35" s="4"/>
      <c r="C35" s="5"/>
      <c r="D35" s="123" t="s">
        <v>196</v>
      </c>
      <c r="E35" s="122"/>
      <c r="F35" s="122"/>
      <c r="G35" s="122"/>
      <c r="H35" s="122"/>
      <c r="I35" s="48" t="s">
        <v>150</v>
      </c>
      <c r="J35" s="13" t="s">
        <v>7</v>
      </c>
      <c r="K35" s="13" t="s">
        <v>23</v>
      </c>
      <c r="L35" s="13" t="s">
        <v>4</v>
      </c>
      <c r="M35" s="61">
        <f>M36</f>
        <v>34004.9</v>
      </c>
      <c r="N35" s="61">
        <f t="shared" ref="N35:R35" si="16">N36</f>
        <v>0</v>
      </c>
      <c r="O35" s="61">
        <f t="shared" si="16"/>
        <v>34004.9</v>
      </c>
      <c r="P35" s="93">
        <f>P36</f>
        <v>34004.9</v>
      </c>
      <c r="Q35" s="93">
        <f t="shared" si="16"/>
        <v>42.4</v>
      </c>
      <c r="R35" s="93">
        <f t="shared" si="16"/>
        <v>34047.300000000003</v>
      </c>
      <c r="S35" s="22" t="s">
        <v>371</v>
      </c>
      <c r="T35" s="8"/>
      <c r="U35" s="35"/>
    </row>
    <row r="36" spans="1:21" ht="42.75" hidden="1" customHeight="1" outlineLevel="1" x14ac:dyDescent="0.2">
      <c r="A36" s="41"/>
      <c r="B36" s="4"/>
      <c r="C36" s="5"/>
      <c r="D36" s="24"/>
      <c r="E36" s="120" t="s">
        <v>197</v>
      </c>
      <c r="F36" s="116"/>
      <c r="G36" s="116"/>
      <c r="H36" s="116"/>
      <c r="I36" s="49" t="s">
        <v>150</v>
      </c>
      <c r="J36" s="14" t="s">
        <v>7</v>
      </c>
      <c r="K36" s="14" t="s">
        <v>23</v>
      </c>
      <c r="L36" s="14" t="s">
        <v>13</v>
      </c>
      <c r="M36" s="60">
        <v>34004.9</v>
      </c>
      <c r="N36" s="60"/>
      <c r="O36" s="60">
        <f t="shared" ref="O36" si="17">SUM(M36:N36)</f>
        <v>34004.9</v>
      </c>
      <c r="P36" s="94">
        <v>34004.9</v>
      </c>
      <c r="Q36" s="94">
        <v>42.4</v>
      </c>
      <c r="R36" s="94">
        <f t="shared" ref="R36" si="18">SUM(P36:Q36)</f>
        <v>34047.300000000003</v>
      </c>
      <c r="S36" s="23" t="s">
        <v>371</v>
      </c>
      <c r="T36" s="8"/>
      <c r="U36" s="35"/>
    </row>
    <row r="37" spans="1:21" ht="27" customHeight="1" collapsed="1" x14ac:dyDescent="0.2">
      <c r="A37" s="41"/>
      <c r="B37" s="4"/>
      <c r="C37" s="5"/>
      <c r="D37" s="123" t="s">
        <v>294</v>
      </c>
      <c r="E37" s="122"/>
      <c r="F37" s="122"/>
      <c r="G37" s="122"/>
      <c r="H37" s="122"/>
      <c r="I37" s="48" t="s">
        <v>149</v>
      </c>
      <c r="J37" s="13" t="s">
        <v>7</v>
      </c>
      <c r="K37" s="13" t="s">
        <v>18</v>
      </c>
      <c r="L37" s="13" t="s">
        <v>4</v>
      </c>
      <c r="M37" s="61">
        <f>M38</f>
        <v>4177</v>
      </c>
      <c r="N37" s="61">
        <f t="shared" ref="N37:R37" si="19">N38</f>
        <v>0</v>
      </c>
      <c r="O37" s="61">
        <f t="shared" si="19"/>
        <v>4177</v>
      </c>
      <c r="P37" s="93">
        <f>P38</f>
        <v>4177</v>
      </c>
      <c r="Q37" s="93">
        <f t="shared" si="19"/>
        <v>0</v>
      </c>
      <c r="R37" s="93">
        <f t="shared" si="19"/>
        <v>4177</v>
      </c>
      <c r="S37" s="22"/>
      <c r="T37" s="8"/>
      <c r="U37" s="35"/>
    </row>
    <row r="38" spans="1:21" hidden="1" outlineLevel="1" x14ac:dyDescent="0.2">
      <c r="A38" s="41"/>
      <c r="B38" s="4"/>
      <c r="C38" s="5"/>
      <c r="D38" s="24"/>
      <c r="E38" s="120" t="s">
        <v>198</v>
      </c>
      <c r="F38" s="116"/>
      <c r="G38" s="116"/>
      <c r="H38" s="116"/>
      <c r="I38" s="49" t="s">
        <v>149</v>
      </c>
      <c r="J38" s="14" t="s">
        <v>7</v>
      </c>
      <c r="K38" s="14" t="s">
        <v>18</v>
      </c>
      <c r="L38" s="14" t="s">
        <v>13</v>
      </c>
      <c r="M38" s="60">
        <v>4177</v>
      </c>
      <c r="N38" s="60"/>
      <c r="O38" s="60">
        <f t="shared" ref="O38" si="20">SUM(M38:N38)</f>
        <v>4177</v>
      </c>
      <c r="P38" s="94">
        <v>4177</v>
      </c>
      <c r="Q38" s="94"/>
      <c r="R38" s="94">
        <f t="shared" ref="R38" si="21">SUM(P38:Q38)</f>
        <v>4177</v>
      </c>
      <c r="S38" s="23"/>
      <c r="T38" s="8"/>
      <c r="U38" s="35"/>
    </row>
    <row r="39" spans="1:21" ht="32.25" customHeight="1" collapsed="1" x14ac:dyDescent="0.2">
      <c r="A39" s="41"/>
      <c r="B39" s="8"/>
      <c r="C39" s="21"/>
      <c r="D39" s="117" t="s">
        <v>312</v>
      </c>
      <c r="E39" s="118"/>
      <c r="F39" s="118"/>
      <c r="G39" s="118"/>
      <c r="H39" s="119"/>
      <c r="I39" s="51" t="s">
        <v>148</v>
      </c>
      <c r="J39" s="36" t="s">
        <v>5</v>
      </c>
      <c r="K39" s="36" t="s">
        <v>4</v>
      </c>
      <c r="L39" s="36" t="s">
        <v>4</v>
      </c>
      <c r="M39" s="57">
        <f>M40+M45+M49</f>
        <v>407229</v>
      </c>
      <c r="N39" s="57">
        <f>N40+N45+N49</f>
        <v>13772.2</v>
      </c>
      <c r="O39" s="57">
        <f>SUM(M39:N39)</f>
        <v>421001.2</v>
      </c>
      <c r="P39" s="95">
        <f>P40+P45+P49</f>
        <v>421001.2</v>
      </c>
      <c r="Q39" s="95">
        <f>Q40+Q45+Q49</f>
        <v>933.7</v>
      </c>
      <c r="R39" s="95">
        <f>SUM(P39:Q39)</f>
        <v>421934.9</v>
      </c>
      <c r="S39" s="30"/>
      <c r="T39" s="8"/>
      <c r="U39" s="35"/>
    </row>
    <row r="40" spans="1:21" ht="62.25" customHeight="1" x14ac:dyDescent="0.2">
      <c r="A40" s="41"/>
      <c r="B40" s="4"/>
      <c r="C40" s="5"/>
      <c r="D40" s="124" t="s">
        <v>179</v>
      </c>
      <c r="E40" s="122"/>
      <c r="F40" s="122"/>
      <c r="G40" s="122"/>
      <c r="H40" s="122"/>
      <c r="I40" s="48" t="s">
        <v>147</v>
      </c>
      <c r="J40" s="13" t="s">
        <v>5</v>
      </c>
      <c r="K40" s="13" t="s">
        <v>23</v>
      </c>
      <c r="L40" s="13" t="s">
        <v>4</v>
      </c>
      <c r="M40" s="61">
        <f>M41+M42+M43</f>
        <v>3914.6</v>
      </c>
      <c r="N40" s="61">
        <f t="shared" ref="N40:O40" si="22">N41+N42+N43</f>
        <v>117.3</v>
      </c>
      <c r="O40" s="61">
        <f t="shared" si="22"/>
        <v>4031.9</v>
      </c>
      <c r="P40" s="93">
        <f>P41+P42+P43</f>
        <v>4031.9</v>
      </c>
      <c r="Q40" s="93">
        <f t="shared" ref="Q40:R40" si="23">Q41+Q42+Q43</f>
        <v>933.7</v>
      </c>
      <c r="R40" s="93">
        <f t="shared" si="23"/>
        <v>4965.6000000000004</v>
      </c>
      <c r="S40" s="22" t="s">
        <v>364</v>
      </c>
      <c r="T40" s="8"/>
      <c r="U40" s="35"/>
    </row>
    <row r="41" spans="1:21" ht="60.75" hidden="1" customHeight="1" outlineLevel="1" x14ac:dyDescent="0.2">
      <c r="A41" s="41"/>
      <c r="B41" s="4"/>
      <c r="C41" s="5"/>
      <c r="D41" s="24"/>
      <c r="E41" s="116" t="s">
        <v>199</v>
      </c>
      <c r="F41" s="116"/>
      <c r="G41" s="116"/>
      <c r="H41" s="116"/>
      <c r="I41" s="49" t="s">
        <v>146</v>
      </c>
      <c r="J41" s="14" t="s">
        <v>5</v>
      </c>
      <c r="K41" s="14" t="s">
        <v>23</v>
      </c>
      <c r="L41" s="14" t="s">
        <v>13</v>
      </c>
      <c r="M41" s="60">
        <v>564.6</v>
      </c>
      <c r="N41" s="60"/>
      <c r="O41" s="60">
        <f t="shared" ref="O41:O54" si="24">SUM(M41:N41)</f>
        <v>564.6</v>
      </c>
      <c r="P41" s="94">
        <v>564.6</v>
      </c>
      <c r="Q41" s="94">
        <f>933.7</f>
        <v>933.7</v>
      </c>
      <c r="R41" s="94">
        <f t="shared" ref="R41:R44" si="25">SUM(P41:Q41)</f>
        <v>1498.3000000000002</v>
      </c>
      <c r="S41" s="23" t="s">
        <v>364</v>
      </c>
      <c r="T41" s="8"/>
      <c r="U41" s="35"/>
    </row>
    <row r="42" spans="1:21" ht="83.25" hidden="1" customHeight="1" outlineLevel="1" x14ac:dyDescent="0.2">
      <c r="A42" s="41"/>
      <c r="B42" s="4"/>
      <c r="C42" s="5"/>
      <c r="D42" s="24"/>
      <c r="E42" s="116" t="s">
        <v>200</v>
      </c>
      <c r="F42" s="116"/>
      <c r="G42" s="116"/>
      <c r="H42" s="116"/>
      <c r="I42" s="49" t="s">
        <v>145</v>
      </c>
      <c r="J42" s="14" t="s">
        <v>5</v>
      </c>
      <c r="K42" s="14" t="s">
        <v>23</v>
      </c>
      <c r="L42" s="14" t="s">
        <v>11</v>
      </c>
      <c r="M42" s="60">
        <v>200</v>
      </c>
      <c r="N42" s="60">
        <f>17.3</f>
        <v>17.3</v>
      </c>
      <c r="O42" s="60">
        <f t="shared" si="24"/>
        <v>217.3</v>
      </c>
      <c r="P42" s="94">
        <v>217.3</v>
      </c>
      <c r="Q42" s="94">
        <v>-144.6</v>
      </c>
      <c r="R42" s="94">
        <f t="shared" si="25"/>
        <v>72.700000000000017</v>
      </c>
      <c r="S42" s="23" t="s">
        <v>374</v>
      </c>
      <c r="T42" s="8"/>
      <c r="U42" s="35"/>
    </row>
    <row r="43" spans="1:21" ht="64.5" hidden="1" customHeight="1" outlineLevel="1" x14ac:dyDescent="0.2">
      <c r="A43" s="41"/>
      <c r="B43" s="4"/>
      <c r="C43" s="5"/>
      <c r="D43" s="24"/>
      <c r="E43" s="116" t="s">
        <v>201</v>
      </c>
      <c r="F43" s="116"/>
      <c r="G43" s="116"/>
      <c r="H43" s="116"/>
      <c r="I43" s="49" t="s">
        <v>144</v>
      </c>
      <c r="J43" s="14" t="s">
        <v>5</v>
      </c>
      <c r="K43" s="14" t="s">
        <v>23</v>
      </c>
      <c r="L43" s="14" t="s">
        <v>26</v>
      </c>
      <c r="M43" s="60">
        <v>3150</v>
      </c>
      <c r="N43" s="60">
        <v>100</v>
      </c>
      <c r="O43" s="60">
        <f t="shared" si="24"/>
        <v>3250</v>
      </c>
      <c r="P43" s="94">
        <v>3250</v>
      </c>
      <c r="Q43" s="94">
        <v>144.6</v>
      </c>
      <c r="R43" s="94">
        <f t="shared" si="25"/>
        <v>3394.6</v>
      </c>
      <c r="S43" s="23" t="s">
        <v>375</v>
      </c>
      <c r="T43" s="8"/>
      <c r="U43" s="35"/>
    </row>
    <row r="44" spans="1:21" ht="12.75" hidden="1" customHeight="1" outlineLevel="1" x14ac:dyDescent="0.2">
      <c r="A44" s="41"/>
      <c r="B44" s="4"/>
      <c r="C44" s="5"/>
      <c r="D44" s="24"/>
      <c r="E44" s="116" t="s">
        <v>202</v>
      </c>
      <c r="F44" s="116"/>
      <c r="G44" s="116"/>
      <c r="H44" s="116"/>
      <c r="I44" s="49" t="s">
        <v>142</v>
      </c>
      <c r="J44" s="14" t="s">
        <v>5</v>
      </c>
      <c r="K44" s="14" t="s">
        <v>23</v>
      </c>
      <c r="L44" s="14" t="s">
        <v>143</v>
      </c>
      <c r="M44" s="60">
        <v>0</v>
      </c>
      <c r="N44" s="60"/>
      <c r="O44" s="60">
        <f t="shared" si="24"/>
        <v>0</v>
      </c>
      <c r="P44" s="94">
        <v>0</v>
      </c>
      <c r="Q44" s="94"/>
      <c r="R44" s="94">
        <f t="shared" si="25"/>
        <v>0</v>
      </c>
      <c r="S44" s="64"/>
      <c r="T44" s="8"/>
      <c r="U44" s="35"/>
    </row>
    <row r="45" spans="1:21" ht="46.5" customHeight="1" collapsed="1" x14ac:dyDescent="0.2">
      <c r="A45" s="41"/>
      <c r="B45" s="4"/>
      <c r="C45" s="5"/>
      <c r="D45" s="124" t="s">
        <v>203</v>
      </c>
      <c r="E45" s="122"/>
      <c r="F45" s="122"/>
      <c r="G45" s="122"/>
      <c r="H45" s="122"/>
      <c r="I45" s="48" t="s">
        <v>141</v>
      </c>
      <c r="J45" s="13" t="s">
        <v>5</v>
      </c>
      <c r="K45" s="13" t="s">
        <v>18</v>
      </c>
      <c r="L45" s="13" t="s">
        <v>4</v>
      </c>
      <c r="M45" s="61">
        <f>M46+M47+M48</f>
        <v>3504.6</v>
      </c>
      <c r="N45" s="61">
        <f>N46+N47+N48</f>
        <v>153.69999999999999</v>
      </c>
      <c r="O45" s="61">
        <f>SUM(M45:N45)</f>
        <v>3658.2999999999997</v>
      </c>
      <c r="P45" s="93">
        <f>P46+P47+P48</f>
        <v>3658.3</v>
      </c>
      <c r="Q45" s="93">
        <f>Q46+Q47+Q48</f>
        <v>0</v>
      </c>
      <c r="R45" s="93">
        <f>SUM(P45:Q45)</f>
        <v>3658.3</v>
      </c>
      <c r="S45" s="22"/>
      <c r="T45" s="8"/>
      <c r="U45" s="35"/>
    </row>
    <row r="46" spans="1:21" ht="52.5" hidden="1" customHeight="1" outlineLevel="1" x14ac:dyDescent="0.2">
      <c r="A46" s="41"/>
      <c r="B46" s="4"/>
      <c r="C46" s="5"/>
      <c r="D46" s="24"/>
      <c r="E46" s="116" t="s">
        <v>204</v>
      </c>
      <c r="F46" s="116"/>
      <c r="G46" s="116"/>
      <c r="H46" s="116"/>
      <c r="I46" s="49" t="s">
        <v>140</v>
      </c>
      <c r="J46" s="14" t="s">
        <v>5</v>
      </c>
      <c r="K46" s="14" t="s">
        <v>18</v>
      </c>
      <c r="L46" s="14" t="s">
        <v>13</v>
      </c>
      <c r="M46" s="60">
        <v>50</v>
      </c>
      <c r="N46" s="60"/>
      <c r="O46" s="60">
        <f t="shared" si="24"/>
        <v>50</v>
      </c>
      <c r="P46" s="94">
        <v>50</v>
      </c>
      <c r="Q46" s="94"/>
      <c r="R46" s="94">
        <f t="shared" ref="R46:R48" si="26">SUM(P46:Q46)</f>
        <v>50</v>
      </c>
      <c r="S46" s="64"/>
      <c r="T46" s="8"/>
      <c r="U46" s="35"/>
    </row>
    <row r="47" spans="1:21" ht="117.75" hidden="1" customHeight="1" outlineLevel="1" x14ac:dyDescent="0.2">
      <c r="A47" s="41"/>
      <c r="B47" s="4"/>
      <c r="C47" s="5"/>
      <c r="D47" s="24"/>
      <c r="E47" s="116" t="s">
        <v>205</v>
      </c>
      <c r="F47" s="116"/>
      <c r="G47" s="116"/>
      <c r="H47" s="116"/>
      <c r="I47" s="49" t="s">
        <v>139</v>
      </c>
      <c r="J47" s="14" t="s">
        <v>5</v>
      </c>
      <c r="K47" s="14" t="s">
        <v>18</v>
      </c>
      <c r="L47" s="14" t="s">
        <v>11</v>
      </c>
      <c r="M47" s="60">
        <v>304.60000000000002</v>
      </c>
      <c r="N47" s="60">
        <f>102.1+43.8+7.8</f>
        <v>153.69999999999999</v>
      </c>
      <c r="O47" s="60">
        <f t="shared" si="24"/>
        <v>458.3</v>
      </c>
      <c r="P47" s="94">
        <v>458.3</v>
      </c>
      <c r="Q47" s="94"/>
      <c r="R47" s="94">
        <f t="shared" si="26"/>
        <v>458.3</v>
      </c>
      <c r="S47" s="68"/>
      <c r="T47" s="8"/>
      <c r="U47" s="35"/>
    </row>
    <row r="48" spans="1:21" ht="32.25" hidden="1" customHeight="1" outlineLevel="1" x14ac:dyDescent="0.2">
      <c r="A48" s="41"/>
      <c r="B48" s="4"/>
      <c r="C48" s="5"/>
      <c r="D48" s="24"/>
      <c r="E48" s="116" t="s">
        <v>316</v>
      </c>
      <c r="F48" s="116"/>
      <c r="G48" s="116"/>
      <c r="H48" s="116"/>
      <c r="I48" s="49" t="s">
        <v>138</v>
      </c>
      <c r="J48" s="14" t="s">
        <v>5</v>
      </c>
      <c r="K48" s="14" t="s">
        <v>18</v>
      </c>
      <c r="L48" s="14" t="s">
        <v>26</v>
      </c>
      <c r="M48" s="60">
        <v>3150</v>
      </c>
      <c r="N48" s="60"/>
      <c r="O48" s="59">
        <f t="shared" si="24"/>
        <v>3150</v>
      </c>
      <c r="P48" s="94">
        <v>3150</v>
      </c>
      <c r="Q48" s="94"/>
      <c r="R48" s="97">
        <f t="shared" si="26"/>
        <v>3150</v>
      </c>
      <c r="S48" s="65"/>
      <c r="T48" s="8"/>
      <c r="U48" s="35"/>
    </row>
    <row r="49" spans="1:21" ht="51.75" customHeight="1" collapsed="1" x14ac:dyDescent="0.2">
      <c r="A49" s="41"/>
      <c r="B49" s="4"/>
      <c r="C49" s="5"/>
      <c r="D49" s="124" t="s">
        <v>206</v>
      </c>
      <c r="E49" s="122"/>
      <c r="F49" s="122"/>
      <c r="G49" s="122"/>
      <c r="H49" s="122"/>
      <c r="I49" s="48" t="s">
        <v>137</v>
      </c>
      <c r="J49" s="13" t="s">
        <v>5</v>
      </c>
      <c r="K49" s="13" t="s">
        <v>27</v>
      </c>
      <c r="L49" s="13" t="s">
        <v>4</v>
      </c>
      <c r="M49" s="61">
        <f>M50</f>
        <v>399809.8</v>
      </c>
      <c r="N49" s="61">
        <f t="shared" ref="N49:R49" si="27">N50</f>
        <v>13501.2</v>
      </c>
      <c r="O49" s="61">
        <f t="shared" si="27"/>
        <v>413311</v>
      </c>
      <c r="P49" s="93">
        <f>P50</f>
        <v>413311</v>
      </c>
      <c r="Q49" s="93">
        <f t="shared" si="27"/>
        <v>0</v>
      </c>
      <c r="R49" s="93">
        <f t="shared" si="27"/>
        <v>413311</v>
      </c>
      <c r="S49" s="22"/>
      <c r="T49" s="8"/>
      <c r="U49" s="35"/>
    </row>
    <row r="50" spans="1:21" ht="159.75" hidden="1" customHeight="1" outlineLevel="1" x14ac:dyDescent="0.2">
      <c r="A50" s="41"/>
      <c r="B50" s="4"/>
      <c r="C50" s="5"/>
      <c r="D50" s="24"/>
      <c r="E50" s="116" t="s">
        <v>207</v>
      </c>
      <c r="F50" s="116"/>
      <c r="G50" s="116"/>
      <c r="H50" s="116"/>
      <c r="I50" s="49" t="s">
        <v>137</v>
      </c>
      <c r="J50" s="14" t="s">
        <v>5</v>
      </c>
      <c r="K50" s="14" t="s">
        <v>27</v>
      </c>
      <c r="L50" s="14" t="s">
        <v>13</v>
      </c>
      <c r="M50" s="60">
        <v>399809.8</v>
      </c>
      <c r="N50" s="60">
        <f>533.1-17.3+12993.2-7.8</f>
        <v>13501.2</v>
      </c>
      <c r="O50" s="60">
        <f t="shared" si="24"/>
        <v>413311</v>
      </c>
      <c r="P50" s="94">
        <v>413311</v>
      </c>
      <c r="Q50" s="94"/>
      <c r="R50" s="94">
        <f t="shared" ref="R50" si="28">SUM(P50:Q50)</f>
        <v>413311</v>
      </c>
      <c r="S50" s="23"/>
      <c r="T50" s="8"/>
      <c r="U50" s="35"/>
    </row>
    <row r="51" spans="1:21" ht="40.5" customHeight="1" collapsed="1" x14ac:dyDescent="0.2">
      <c r="A51" s="41"/>
      <c r="B51" s="8"/>
      <c r="C51" s="21"/>
      <c r="D51" s="117" t="s">
        <v>332</v>
      </c>
      <c r="E51" s="129"/>
      <c r="F51" s="129"/>
      <c r="G51" s="129"/>
      <c r="H51" s="130"/>
      <c r="I51" s="50" t="s">
        <v>136</v>
      </c>
      <c r="J51" s="18" t="s">
        <v>1</v>
      </c>
      <c r="K51" s="18" t="s">
        <v>4</v>
      </c>
      <c r="L51" s="18" t="s">
        <v>4</v>
      </c>
      <c r="M51" s="62">
        <f>M52</f>
        <v>200</v>
      </c>
      <c r="N51" s="62">
        <f>N52</f>
        <v>0</v>
      </c>
      <c r="O51" s="57">
        <f>SUM(M51:N51)</f>
        <v>200</v>
      </c>
      <c r="P51" s="96">
        <f>P52</f>
        <v>200</v>
      </c>
      <c r="Q51" s="96">
        <f>Q52</f>
        <v>0</v>
      </c>
      <c r="R51" s="95">
        <f>SUM(P51:Q51)</f>
        <v>200</v>
      </c>
      <c r="S51" s="31"/>
      <c r="T51" s="8"/>
      <c r="U51" s="35"/>
    </row>
    <row r="52" spans="1:21" ht="36" hidden="1" customHeight="1" outlineLevel="1" x14ac:dyDescent="0.2">
      <c r="A52" s="41"/>
      <c r="B52" s="4"/>
      <c r="C52" s="5"/>
      <c r="D52" s="24"/>
      <c r="E52" s="120" t="s">
        <v>208</v>
      </c>
      <c r="F52" s="116"/>
      <c r="G52" s="116"/>
      <c r="H52" s="116"/>
      <c r="I52" s="49" t="s">
        <v>136</v>
      </c>
      <c r="J52" s="14" t="s">
        <v>1</v>
      </c>
      <c r="K52" s="14" t="s">
        <v>2</v>
      </c>
      <c r="L52" s="14" t="s">
        <v>13</v>
      </c>
      <c r="M52" s="60">
        <v>200</v>
      </c>
      <c r="N52" s="60"/>
      <c r="O52" s="60">
        <f t="shared" si="24"/>
        <v>200</v>
      </c>
      <c r="P52" s="94">
        <v>200</v>
      </c>
      <c r="Q52" s="94"/>
      <c r="R52" s="94">
        <f t="shared" ref="R52" si="29">SUM(P52:Q52)</f>
        <v>200</v>
      </c>
      <c r="S52" s="23"/>
      <c r="T52" s="8"/>
      <c r="U52" s="35"/>
    </row>
    <row r="53" spans="1:21" ht="45" customHeight="1" collapsed="1" x14ac:dyDescent="0.2">
      <c r="A53" s="41"/>
      <c r="B53" s="8"/>
      <c r="C53" s="21"/>
      <c r="D53" s="117" t="s">
        <v>307</v>
      </c>
      <c r="E53" s="129"/>
      <c r="F53" s="129"/>
      <c r="G53" s="129"/>
      <c r="H53" s="130"/>
      <c r="I53" s="50" t="s">
        <v>135</v>
      </c>
      <c r="J53" s="18" t="s">
        <v>134</v>
      </c>
      <c r="K53" s="18" t="s">
        <v>4</v>
      </c>
      <c r="L53" s="18" t="s">
        <v>4</v>
      </c>
      <c r="M53" s="62">
        <f>M54</f>
        <v>18882.400000000001</v>
      </c>
      <c r="N53" s="62">
        <f>N54</f>
        <v>3471.4</v>
      </c>
      <c r="O53" s="57">
        <f>SUM(M53:N53)</f>
        <v>22353.800000000003</v>
      </c>
      <c r="P53" s="96">
        <f>P54</f>
        <v>22353.8</v>
      </c>
      <c r="Q53" s="96">
        <f>Q54</f>
        <v>0</v>
      </c>
      <c r="R53" s="95">
        <f>SUM(P53:Q53)</f>
        <v>22353.8</v>
      </c>
      <c r="S53" s="84"/>
      <c r="T53" s="8"/>
      <c r="U53" s="35"/>
    </row>
    <row r="54" spans="1:21" ht="107.25" hidden="1" customHeight="1" outlineLevel="1" x14ac:dyDescent="0.2">
      <c r="A54" s="41"/>
      <c r="B54" s="4"/>
      <c r="C54" s="5"/>
      <c r="D54" s="24"/>
      <c r="E54" s="116" t="s">
        <v>209</v>
      </c>
      <c r="F54" s="116"/>
      <c r="G54" s="116"/>
      <c r="H54" s="116"/>
      <c r="I54" s="49" t="s">
        <v>135</v>
      </c>
      <c r="J54" s="14" t="s">
        <v>134</v>
      </c>
      <c r="K54" s="14" t="s">
        <v>2</v>
      </c>
      <c r="L54" s="14" t="s">
        <v>13</v>
      </c>
      <c r="M54" s="60">
        <v>18882.400000000001</v>
      </c>
      <c r="N54" s="60">
        <v>3471.4</v>
      </c>
      <c r="O54" s="60">
        <f t="shared" si="24"/>
        <v>22353.800000000003</v>
      </c>
      <c r="P54" s="94">
        <v>22353.8</v>
      </c>
      <c r="Q54" s="94"/>
      <c r="R54" s="94">
        <f t="shared" ref="R54" si="30">SUM(P54:Q54)</f>
        <v>22353.8</v>
      </c>
      <c r="S54" s="85"/>
      <c r="T54" s="8"/>
      <c r="U54" s="35"/>
    </row>
    <row r="55" spans="1:21" ht="31.5" customHeight="1" collapsed="1" x14ac:dyDescent="0.2">
      <c r="A55" s="41"/>
      <c r="B55" s="8"/>
      <c r="C55" s="21"/>
      <c r="D55" s="117" t="s">
        <v>313</v>
      </c>
      <c r="E55" s="118"/>
      <c r="F55" s="118"/>
      <c r="G55" s="118"/>
      <c r="H55" s="119"/>
      <c r="I55" s="51" t="s">
        <v>133</v>
      </c>
      <c r="J55" s="36" t="s">
        <v>124</v>
      </c>
      <c r="K55" s="36" t="s">
        <v>4</v>
      </c>
      <c r="L55" s="36" t="s">
        <v>4</v>
      </c>
      <c r="M55" s="57">
        <f>M56+M61</f>
        <v>239594.6</v>
      </c>
      <c r="N55" s="57">
        <f>N56+N61</f>
        <v>5011</v>
      </c>
      <c r="O55" s="57">
        <f>SUM(M55:N55)</f>
        <v>244605.6</v>
      </c>
      <c r="P55" s="95">
        <f>P56+P61</f>
        <v>244605.6</v>
      </c>
      <c r="Q55" s="95">
        <f>Q56+Q61</f>
        <v>2648.9</v>
      </c>
      <c r="R55" s="95">
        <f>SUM(P55:Q55)</f>
        <v>247254.5</v>
      </c>
      <c r="S55" s="30"/>
      <c r="T55" s="8"/>
      <c r="U55" s="35"/>
    </row>
    <row r="56" spans="1:21" ht="75" customHeight="1" x14ac:dyDescent="0.2">
      <c r="A56" s="41"/>
      <c r="B56" s="4"/>
      <c r="C56" s="5"/>
      <c r="D56" s="124" t="s">
        <v>210</v>
      </c>
      <c r="E56" s="122"/>
      <c r="F56" s="122"/>
      <c r="G56" s="122"/>
      <c r="H56" s="122"/>
      <c r="I56" s="48" t="s">
        <v>132</v>
      </c>
      <c r="J56" s="13" t="s">
        <v>124</v>
      </c>
      <c r="K56" s="13">
        <v>1</v>
      </c>
      <c r="L56" s="13" t="s">
        <v>4</v>
      </c>
      <c r="M56" s="61">
        <f>M57+M58+M59+M60</f>
        <v>231338.5</v>
      </c>
      <c r="N56" s="61">
        <f>N57+N58+N59+N60</f>
        <v>5011</v>
      </c>
      <c r="O56" s="61">
        <f>SUM(M56:N56)</f>
        <v>236349.5</v>
      </c>
      <c r="P56" s="93">
        <f>P57+P58+P59+P60</f>
        <v>236349.5</v>
      </c>
      <c r="Q56" s="93">
        <f>Q57+Q58+Q59+Q60</f>
        <v>2450</v>
      </c>
      <c r="R56" s="93">
        <f>SUM(P56:Q56)</f>
        <v>238799.5</v>
      </c>
      <c r="S56" s="22" t="s">
        <v>379</v>
      </c>
      <c r="T56" s="8"/>
      <c r="U56" s="35"/>
    </row>
    <row r="57" spans="1:21" ht="21.75" hidden="1" customHeight="1" outlineLevel="1" x14ac:dyDescent="0.2">
      <c r="A57" s="41"/>
      <c r="B57" s="4"/>
      <c r="C57" s="5"/>
      <c r="D57" s="24"/>
      <c r="E57" s="116" t="s">
        <v>211</v>
      </c>
      <c r="F57" s="116"/>
      <c r="G57" s="116"/>
      <c r="H57" s="116"/>
      <c r="I57" s="49" t="s">
        <v>131</v>
      </c>
      <c r="J57" s="14" t="s">
        <v>124</v>
      </c>
      <c r="K57" s="14" t="s">
        <v>23</v>
      </c>
      <c r="L57" s="14" t="s">
        <v>13</v>
      </c>
      <c r="M57" s="60">
        <v>300</v>
      </c>
      <c r="N57" s="60"/>
      <c r="O57" s="60">
        <f t="shared" ref="O57:O69" si="31">SUM(M57:N57)</f>
        <v>300</v>
      </c>
      <c r="P57" s="94">
        <v>300</v>
      </c>
      <c r="Q57" s="94"/>
      <c r="R57" s="94">
        <f t="shared" ref="R57:R60" si="32">SUM(P57:Q57)</f>
        <v>300</v>
      </c>
      <c r="S57" s="23"/>
      <c r="T57" s="8"/>
      <c r="U57" s="35"/>
    </row>
    <row r="58" spans="1:21" ht="36" hidden="1" customHeight="1" outlineLevel="1" x14ac:dyDescent="0.2">
      <c r="A58" s="41"/>
      <c r="B58" s="4"/>
      <c r="C58" s="5"/>
      <c r="D58" s="24"/>
      <c r="E58" s="116" t="s">
        <v>212</v>
      </c>
      <c r="F58" s="116"/>
      <c r="G58" s="116"/>
      <c r="H58" s="116"/>
      <c r="I58" s="49" t="s">
        <v>130</v>
      </c>
      <c r="J58" s="14" t="s">
        <v>124</v>
      </c>
      <c r="K58" s="14" t="s">
        <v>23</v>
      </c>
      <c r="L58" s="14" t="s">
        <v>11</v>
      </c>
      <c r="M58" s="60">
        <v>300</v>
      </c>
      <c r="N58" s="60"/>
      <c r="O58" s="60">
        <f t="shared" si="31"/>
        <v>300</v>
      </c>
      <c r="P58" s="94">
        <v>300</v>
      </c>
      <c r="Q58" s="94">
        <f>-50</f>
        <v>-50</v>
      </c>
      <c r="R58" s="94">
        <f t="shared" si="32"/>
        <v>250</v>
      </c>
      <c r="S58" s="23" t="s">
        <v>380</v>
      </c>
      <c r="T58" s="8"/>
      <c r="U58" s="35"/>
    </row>
    <row r="59" spans="1:21" ht="48.75" hidden="1" customHeight="1" outlineLevel="1" x14ac:dyDescent="0.2">
      <c r="A59" s="41"/>
      <c r="B59" s="4"/>
      <c r="C59" s="5"/>
      <c r="D59" s="24"/>
      <c r="E59" s="116" t="s">
        <v>213</v>
      </c>
      <c r="F59" s="116"/>
      <c r="G59" s="116"/>
      <c r="H59" s="116"/>
      <c r="I59" s="49" t="s">
        <v>129</v>
      </c>
      <c r="J59" s="14" t="s">
        <v>124</v>
      </c>
      <c r="K59" s="14" t="s">
        <v>23</v>
      </c>
      <c r="L59" s="14" t="s">
        <v>10</v>
      </c>
      <c r="M59" s="60">
        <v>1686.5</v>
      </c>
      <c r="N59" s="60"/>
      <c r="O59" s="60">
        <f t="shared" si="31"/>
        <v>1686.5</v>
      </c>
      <c r="P59" s="94">
        <v>1686.5</v>
      </c>
      <c r="Q59" s="94">
        <f>2500</f>
        <v>2500</v>
      </c>
      <c r="R59" s="94">
        <f t="shared" si="32"/>
        <v>4186.5</v>
      </c>
      <c r="S59" s="23" t="s">
        <v>378</v>
      </c>
      <c r="T59" s="8"/>
      <c r="U59" s="35"/>
    </row>
    <row r="60" spans="1:21" ht="93" hidden="1" customHeight="1" outlineLevel="1" x14ac:dyDescent="0.2">
      <c r="A60" s="41"/>
      <c r="B60" s="4"/>
      <c r="C60" s="5"/>
      <c r="D60" s="24"/>
      <c r="E60" s="116" t="s">
        <v>214</v>
      </c>
      <c r="F60" s="116"/>
      <c r="G60" s="116"/>
      <c r="H60" s="116"/>
      <c r="I60" s="49" t="s">
        <v>128</v>
      </c>
      <c r="J60" s="14" t="s">
        <v>124</v>
      </c>
      <c r="K60" s="14" t="s">
        <v>23</v>
      </c>
      <c r="L60" s="14" t="s">
        <v>7</v>
      </c>
      <c r="M60" s="60">
        <v>229052</v>
      </c>
      <c r="N60" s="60">
        <f>200+4811</f>
        <v>5011</v>
      </c>
      <c r="O60" s="60">
        <f t="shared" si="31"/>
        <v>234063</v>
      </c>
      <c r="P60" s="94">
        <v>234063</v>
      </c>
      <c r="Q60" s="94"/>
      <c r="R60" s="94">
        <f t="shared" si="32"/>
        <v>234063</v>
      </c>
      <c r="S60" s="23"/>
      <c r="T60" s="8"/>
      <c r="U60" s="35"/>
    </row>
    <row r="61" spans="1:21" ht="72" customHeight="1" collapsed="1" x14ac:dyDescent="0.2">
      <c r="A61" s="41"/>
      <c r="B61" s="4"/>
      <c r="C61" s="5"/>
      <c r="D61" s="124" t="s">
        <v>215</v>
      </c>
      <c r="E61" s="122"/>
      <c r="F61" s="122"/>
      <c r="G61" s="122"/>
      <c r="H61" s="122"/>
      <c r="I61" s="48" t="s">
        <v>127</v>
      </c>
      <c r="J61" s="13" t="s">
        <v>124</v>
      </c>
      <c r="K61" s="13" t="s">
        <v>18</v>
      </c>
      <c r="L61" s="13" t="s">
        <v>4</v>
      </c>
      <c r="M61" s="61">
        <f>M62+M63+M65</f>
        <v>8256.1</v>
      </c>
      <c r="N61" s="61">
        <f>N62+N63+N65</f>
        <v>0</v>
      </c>
      <c r="O61" s="61">
        <f>SUM(M61:N61)</f>
        <v>8256.1</v>
      </c>
      <c r="P61" s="93">
        <f>P62+P63+P64+P65</f>
        <v>8256.1</v>
      </c>
      <c r="Q61" s="93">
        <f>Q62+Q63+Q64+Q65</f>
        <v>198.89999999999998</v>
      </c>
      <c r="R61" s="93">
        <f>SUM(P61:Q61)</f>
        <v>8455</v>
      </c>
      <c r="S61" s="22" t="s">
        <v>369</v>
      </c>
      <c r="T61" s="8"/>
      <c r="U61" s="35"/>
    </row>
    <row r="62" spans="1:21" ht="96" hidden="1" customHeight="1" outlineLevel="1" x14ac:dyDescent="0.2">
      <c r="A62" s="41"/>
      <c r="B62" s="4"/>
      <c r="C62" s="5"/>
      <c r="D62" s="24"/>
      <c r="E62" s="116" t="s">
        <v>216</v>
      </c>
      <c r="F62" s="116"/>
      <c r="G62" s="116"/>
      <c r="H62" s="116"/>
      <c r="I62" s="49" t="s">
        <v>126</v>
      </c>
      <c r="J62" s="14" t="s">
        <v>124</v>
      </c>
      <c r="K62" s="14" t="s">
        <v>18</v>
      </c>
      <c r="L62" s="14" t="s">
        <v>13</v>
      </c>
      <c r="M62" s="60">
        <v>4926.3999999999996</v>
      </c>
      <c r="N62" s="60"/>
      <c r="O62" s="60">
        <f t="shared" si="31"/>
        <v>4926.3999999999996</v>
      </c>
      <c r="P62" s="94">
        <v>4926.3999999999996</v>
      </c>
      <c r="Q62" s="94">
        <f>148.9+50</f>
        <v>198.9</v>
      </c>
      <c r="R62" s="94">
        <f t="shared" ref="R62:R65" si="33">SUM(P62:Q62)</f>
        <v>5125.2999999999993</v>
      </c>
      <c r="S62" s="23" t="s">
        <v>376</v>
      </c>
      <c r="T62" s="8"/>
      <c r="U62" s="90"/>
    </row>
    <row r="63" spans="1:21" ht="32.25" hidden="1" customHeight="1" outlineLevel="1" x14ac:dyDescent="0.2">
      <c r="A63" s="41"/>
      <c r="B63" s="4"/>
      <c r="C63" s="5"/>
      <c r="D63" s="24"/>
      <c r="E63" s="116" t="s">
        <v>217</v>
      </c>
      <c r="F63" s="116"/>
      <c r="G63" s="116"/>
      <c r="H63" s="116"/>
      <c r="I63" s="49" t="s">
        <v>125</v>
      </c>
      <c r="J63" s="14" t="s">
        <v>124</v>
      </c>
      <c r="K63" s="14" t="s">
        <v>18</v>
      </c>
      <c r="L63" s="14" t="s">
        <v>26</v>
      </c>
      <c r="M63" s="60">
        <v>2292.5</v>
      </c>
      <c r="N63" s="60"/>
      <c r="O63" s="60">
        <f t="shared" si="31"/>
        <v>2292.5</v>
      </c>
      <c r="P63" s="94">
        <v>2292.5</v>
      </c>
      <c r="Q63" s="94"/>
      <c r="R63" s="94">
        <f t="shared" si="33"/>
        <v>2292.5</v>
      </c>
      <c r="S63" s="23"/>
      <c r="T63" s="8"/>
      <c r="U63" s="35"/>
    </row>
    <row r="64" spans="1:21" ht="46.5" hidden="1" customHeight="1" outlineLevel="1" x14ac:dyDescent="0.2">
      <c r="A64" s="41"/>
      <c r="B64" s="8"/>
      <c r="C64" s="33"/>
      <c r="D64" s="24"/>
      <c r="E64" s="116" t="s">
        <v>351</v>
      </c>
      <c r="F64" s="116"/>
      <c r="G64" s="116"/>
      <c r="H64" s="116"/>
      <c r="I64" s="49">
        <v>920400000</v>
      </c>
      <c r="J64" s="14" t="s">
        <v>124</v>
      </c>
      <c r="K64" s="14" t="s">
        <v>18</v>
      </c>
      <c r="L64" s="37" t="s">
        <v>10</v>
      </c>
      <c r="M64" s="60">
        <v>1037.2</v>
      </c>
      <c r="N64" s="60"/>
      <c r="O64" s="60">
        <f t="shared" ref="O64" si="34">SUM(M64:N64)</f>
        <v>1037.2</v>
      </c>
      <c r="P64" s="94">
        <v>1037.2</v>
      </c>
      <c r="Q64" s="94">
        <f>-1037.2</f>
        <v>-1037.2</v>
      </c>
      <c r="R64" s="94">
        <f t="shared" ref="R64" si="35">SUM(P64:Q64)</f>
        <v>0</v>
      </c>
      <c r="S64" s="23" t="s">
        <v>362</v>
      </c>
      <c r="T64" s="8"/>
      <c r="U64" s="35"/>
    </row>
    <row r="65" spans="1:21" ht="47.25" hidden="1" customHeight="1" outlineLevel="1" x14ac:dyDescent="0.2">
      <c r="A65" s="41"/>
      <c r="B65" s="8"/>
      <c r="C65" s="33"/>
      <c r="D65" s="24"/>
      <c r="E65" s="116" t="s">
        <v>361</v>
      </c>
      <c r="F65" s="116"/>
      <c r="G65" s="116"/>
      <c r="H65" s="116"/>
      <c r="I65" s="49">
        <v>920400000</v>
      </c>
      <c r="J65" s="14" t="s">
        <v>124</v>
      </c>
      <c r="K65" s="14" t="s">
        <v>18</v>
      </c>
      <c r="L65" s="37" t="s">
        <v>7</v>
      </c>
      <c r="M65" s="60">
        <v>1037.2</v>
      </c>
      <c r="N65" s="60"/>
      <c r="O65" s="60">
        <f t="shared" si="31"/>
        <v>1037.2</v>
      </c>
      <c r="P65" s="94">
        <v>0</v>
      </c>
      <c r="Q65" s="94">
        <f>1037.2</f>
        <v>1037.2</v>
      </c>
      <c r="R65" s="94">
        <f t="shared" si="33"/>
        <v>1037.2</v>
      </c>
      <c r="S65" s="23" t="s">
        <v>363</v>
      </c>
      <c r="T65" s="8"/>
      <c r="U65" s="35"/>
    </row>
    <row r="66" spans="1:21" ht="168.75" collapsed="1" x14ac:dyDescent="0.2">
      <c r="A66" s="41"/>
      <c r="B66" s="8"/>
      <c r="C66" s="21"/>
      <c r="D66" s="117" t="s">
        <v>322</v>
      </c>
      <c r="E66" s="129"/>
      <c r="F66" s="129"/>
      <c r="G66" s="129"/>
      <c r="H66" s="130"/>
      <c r="I66" s="50" t="s">
        <v>123</v>
      </c>
      <c r="J66" s="18" t="s">
        <v>120</v>
      </c>
      <c r="K66" s="18" t="s">
        <v>4</v>
      </c>
      <c r="L66" s="18" t="s">
        <v>4</v>
      </c>
      <c r="M66" s="62">
        <f>M67+M68+M69</f>
        <v>51317.899999999994</v>
      </c>
      <c r="N66" s="62">
        <f>N67+N68+N69</f>
        <v>975</v>
      </c>
      <c r="O66" s="57">
        <f>SUM(M66:N66)</f>
        <v>52292.899999999994</v>
      </c>
      <c r="P66" s="96">
        <f>P67+P68+P69</f>
        <v>52292.899999999994</v>
      </c>
      <c r="Q66" s="96">
        <f>Q67+Q68+Q69</f>
        <v>7542.7999999999993</v>
      </c>
      <c r="R66" s="95">
        <f>SUM(P66:Q66)</f>
        <v>59835.7</v>
      </c>
      <c r="S66" s="31" t="s">
        <v>427</v>
      </c>
      <c r="T66" s="8"/>
      <c r="U66" s="35"/>
    </row>
    <row r="67" spans="1:21" ht="32.25" hidden="1" customHeight="1" outlineLevel="1" x14ac:dyDescent="0.2">
      <c r="A67" s="41"/>
      <c r="B67" s="4"/>
      <c r="C67" s="5"/>
      <c r="D67" s="24"/>
      <c r="E67" s="120" t="s">
        <v>218</v>
      </c>
      <c r="F67" s="116"/>
      <c r="G67" s="116"/>
      <c r="H67" s="116"/>
      <c r="I67" s="49" t="s">
        <v>122</v>
      </c>
      <c r="J67" s="14" t="s">
        <v>120</v>
      </c>
      <c r="K67" s="14" t="s">
        <v>2</v>
      </c>
      <c r="L67" s="14" t="s">
        <v>13</v>
      </c>
      <c r="M67" s="60">
        <v>40861.199999999997</v>
      </c>
      <c r="N67" s="60"/>
      <c r="O67" s="60">
        <f t="shared" si="31"/>
        <v>40861.199999999997</v>
      </c>
      <c r="P67" s="94">
        <v>40861.199999999997</v>
      </c>
      <c r="Q67" s="94"/>
      <c r="R67" s="94">
        <f t="shared" ref="R67:R69" si="36">SUM(P67:Q67)</f>
        <v>40861.199999999997</v>
      </c>
      <c r="S67" s="23"/>
      <c r="T67" s="8"/>
      <c r="U67" s="35"/>
    </row>
    <row r="68" spans="1:21" ht="153.75" hidden="1" customHeight="1" outlineLevel="1" x14ac:dyDescent="0.2">
      <c r="A68" s="41"/>
      <c r="B68" s="4"/>
      <c r="C68" s="5"/>
      <c r="D68" s="24"/>
      <c r="E68" s="116" t="s">
        <v>219</v>
      </c>
      <c r="F68" s="116"/>
      <c r="G68" s="116"/>
      <c r="H68" s="116"/>
      <c r="I68" s="49" t="s">
        <v>121</v>
      </c>
      <c r="J68" s="14">
        <v>10</v>
      </c>
      <c r="K68" s="14" t="s">
        <v>2</v>
      </c>
      <c r="L68" s="14" t="s">
        <v>11</v>
      </c>
      <c r="M68" s="60">
        <v>9456.7000000000007</v>
      </c>
      <c r="N68" s="60">
        <f>-25+2000-35.5</f>
        <v>1939.5</v>
      </c>
      <c r="O68" s="60">
        <f t="shared" si="31"/>
        <v>11396.2</v>
      </c>
      <c r="P68" s="94">
        <v>11396.2</v>
      </c>
      <c r="Q68" s="94">
        <f>-22.6+7441-875.6</f>
        <v>6542.7999999999993</v>
      </c>
      <c r="R68" s="94">
        <f t="shared" si="36"/>
        <v>17939</v>
      </c>
      <c r="S68" s="23" t="s">
        <v>392</v>
      </c>
      <c r="T68" s="8"/>
      <c r="U68" s="35"/>
    </row>
    <row r="69" spans="1:21" ht="68.25" hidden="1" customHeight="1" outlineLevel="1" x14ac:dyDescent="0.2">
      <c r="A69" s="41"/>
      <c r="B69" s="4"/>
      <c r="C69" s="5"/>
      <c r="D69" s="24"/>
      <c r="E69" s="120" t="s">
        <v>220</v>
      </c>
      <c r="F69" s="116"/>
      <c r="G69" s="116"/>
      <c r="H69" s="116"/>
      <c r="I69" s="49" t="s">
        <v>119</v>
      </c>
      <c r="J69" s="14" t="s">
        <v>120</v>
      </c>
      <c r="K69" s="14" t="s">
        <v>2</v>
      </c>
      <c r="L69" s="14" t="s">
        <v>26</v>
      </c>
      <c r="M69" s="60">
        <v>1000</v>
      </c>
      <c r="N69" s="60">
        <f>-1000+35.5</f>
        <v>-964.5</v>
      </c>
      <c r="O69" s="60">
        <f t="shared" si="31"/>
        <v>35.5</v>
      </c>
      <c r="P69" s="94">
        <v>35.5</v>
      </c>
      <c r="Q69" s="94">
        <v>1000</v>
      </c>
      <c r="R69" s="94">
        <f t="shared" si="36"/>
        <v>1035.5</v>
      </c>
      <c r="S69" s="23" t="s">
        <v>393</v>
      </c>
      <c r="T69" s="8"/>
      <c r="U69" s="35"/>
    </row>
    <row r="70" spans="1:21" ht="33.75" customHeight="1" collapsed="1" x14ac:dyDescent="0.2">
      <c r="A70" s="41"/>
      <c r="B70" s="8"/>
      <c r="C70" s="21"/>
      <c r="D70" s="117" t="s">
        <v>323</v>
      </c>
      <c r="E70" s="129"/>
      <c r="F70" s="129"/>
      <c r="G70" s="129"/>
      <c r="H70" s="130"/>
      <c r="I70" s="50" t="s">
        <v>118</v>
      </c>
      <c r="J70" s="18" t="s">
        <v>108</v>
      </c>
      <c r="K70" s="18" t="s">
        <v>4</v>
      </c>
      <c r="L70" s="18" t="s">
        <v>4</v>
      </c>
      <c r="M70" s="62">
        <f>SUM(M71+M73+M76+M80)</f>
        <v>743667.29999999993</v>
      </c>
      <c r="N70" s="62">
        <f>SUM(N71+N73+N76+N80)</f>
        <v>2835.4</v>
      </c>
      <c r="O70" s="57">
        <f>SUM(M70:N70)</f>
        <v>746502.7</v>
      </c>
      <c r="P70" s="96">
        <f>SUM(P71+P73+P76+P80)</f>
        <v>746502.7</v>
      </c>
      <c r="Q70" s="96">
        <f>SUM(Q71+Q73+Q76+Q80)</f>
        <v>84405.000000000029</v>
      </c>
      <c r="R70" s="95">
        <f>SUM(P70:Q70)</f>
        <v>830907.7</v>
      </c>
      <c r="S70" s="30"/>
      <c r="T70" s="8"/>
      <c r="U70" s="35"/>
    </row>
    <row r="71" spans="1:21" ht="33.75" x14ac:dyDescent="0.2">
      <c r="A71" s="41"/>
      <c r="B71" s="4"/>
      <c r="C71" s="5"/>
      <c r="D71" s="123" t="s">
        <v>221</v>
      </c>
      <c r="E71" s="122"/>
      <c r="F71" s="122"/>
      <c r="G71" s="122"/>
      <c r="H71" s="122"/>
      <c r="I71" s="48" t="s">
        <v>117</v>
      </c>
      <c r="J71" s="13" t="s">
        <v>108</v>
      </c>
      <c r="K71" s="13" t="s">
        <v>23</v>
      </c>
      <c r="L71" s="13" t="s">
        <v>4</v>
      </c>
      <c r="M71" s="61">
        <f>M72</f>
        <v>1606.2</v>
      </c>
      <c r="N71" s="61">
        <f>N72</f>
        <v>0</v>
      </c>
      <c r="O71" s="61">
        <f>SUM(M71:N71)</f>
        <v>1606.2</v>
      </c>
      <c r="P71" s="93">
        <f>P72</f>
        <v>1606.2</v>
      </c>
      <c r="Q71" s="93">
        <f>Q72</f>
        <v>47.6</v>
      </c>
      <c r="R71" s="93">
        <f>SUM(P71:Q71)</f>
        <v>1653.8</v>
      </c>
      <c r="S71" s="42" t="s">
        <v>398</v>
      </c>
      <c r="T71" s="8"/>
      <c r="U71" s="35"/>
    </row>
    <row r="72" spans="1:21" ht="41.25" hidden="1" customHeight="1" outlineLevel="1" x14ac:dyDescent="0.2">
      <c r="A72" s="41"/>
      <c r="B72" s="4"/>
      <c r="C72" s="5"/>
      <c r="D72" s="25"/>
      <c r="E72" s="125" t="s">
        <v>293</v>
      </c>
      <c r="F72" s="125"/>
      <c r="G72" s="125"/>
      <c r="H72" s="125"/>
      <c r="I72" s="49"/>
      <c r="J72" s="16" t="s">
        <v>108</v>
      </c>
      <c r="K72" s="16" t="s">
        <v>23</v>
      </c>
      <c r="L72" s="16" t="s">
        <v>13</v>
      </c>
      <c r="M72" s="60">
        <v>1606.2</v>
      </c>
      <c r="N72" s="60"/>
      <c r="O72" s="60">
        <f t="shared" ref="O72" si="37">SUM(M72:N72)</f>
        <v>1606.2</v>
      </c>
      <c r="P72" s="94">
        <v>1606.2</v>
      </c>
      <c r="Q72" s="94">
        <f>22.6+25</f>
        <v>47.6</v>
      </c>
      <c r="R72" s="94">
        <f t="shared" ref="R72" si="38">SUM(P72:Q72)</f>
        <v>1653.8</v>
      </c>
      <c r="S72" s="66" t="s">
        <v>398</v>
      </c>
      <c r="T72" s="8"/>
      <c r="U72" s="35"/>
    </row>
    <row r="73" spans="1:21" ht="51" customHeight="1" collapsed="1" x14ac:dyDescent="0.2">
      <c r="A73" s="41"/>
      <c r="B73" s="4"/>
      <c r="C73" s="5"/>
      <c r="D73" s="123" t="s">
        <v>222</v>
      </c>
      <c r="E73" s="122"/>
      <c r="F73" s="122"/>
      <c r="G73" s="122"/>
      <c r="H73" s="122"/>
      <c r="I73" s="48" t="s">
        <v>116</v>
      </c>
      <c r="J73" s="13" t="s">
        <v>108</v>
      </c>
      <c r="K73" s="13" t="s">
        <v>18</v>
      </c>
      <c r="L73" s="13" t="s">
        <v>4</v>
      </c>
      <c r="M73" s="61">
        <f>M74+M75</f>
        <v>37777.9</v>
      </c>
      <c r="N73" s="61">
        <f>N74+N75</f>
        <v>2835.4</v>
      </c>
      <c r="O73" s="61">
        <f>SUM(M73:N73)</f>
        <v>40613.300000000003</v>
      </c>
      <c r="P73" s="93">
        <f>P74+P75</f>
        <v>40613.299999999996</v>
      </c>
      <c r="Q73" s="93">
        <f>Q74+Q75</f>
        <v>13609.5</v>
      </c>
      <c r="R73" s="93">
        <f>SUM(P73:Q73)</f>
        <v>54222.799999999996</v>
      </c>
      <c r="S73" s="22" t="s">
        <v>394</v>
      </c>
      <c r="T73" s="8"/>
      <c r="U73" s="35"/>
    </row>
    <row r="74" spans="1:21" ht="48" hidden="1" customHeight="1" outlineLevel="1" x14ac:dyDescent="0.2">
      <c r="A74" s="41"/>
      <c r="B74" s="4"/>
      <c r="C74" s="5"/>
      <c r="D74" s="24"/>
      <c r="E74" s="120" t="s">
        <v>223</v>
      </c>
      <c r="F74" s="116"/>
      <c r="G74" s="116"/>
      <c r="H74" s="116"/>
      <c r="I74" s="49" t="s">
        <v>115</v>
      </c>
      <c r="J74" s="14" t="s">
        <v>108</v>
      </c>
      <c r="K74" s="14" t="s">
        <v>18</v>
      </c>
      <c r="L74" s="14" t="s">
        <v>13</v>
      </c>
      <c r="M74" s="60">
        <v>37767.800000000003</v>
      </c>
      <c r="N74" s="60">
        <v>2835.4</v>
      </c>
      <c r="O74" s="60">
        <f t="shared" ref="O74:O86" si="39">SUM(M74:N74)</f>
        <v>40603.200000000004</v>
      </c>
      <c r="P74" s="94">
        <v>40603.199999999997</v>
      </c>
      <c r="Q74" s="94">
        <v>13609.5</v>
      </c>
      <c r="R74" s="94">
        <f t="shared" ref="R74:R75" si="40">SUM(P74:Q74)</f>
        <v>54212.7</v>
      </c>
      <c r="S74" s="23" t="s">
        <v>394</v>
      </c>
      <c r="T74" s="8"/>
      <c r="U74" s="35"/>
    </row>
    <row r="75" spans="1:21" ht="84" hidden="1" customHeight="1" outlineLevel="1" x14ac:dyDescent="0.2">
      <c r="A75" s="41"/>
      <c r="B75" s="4"/>
      <c r="C75" s="5"/>
      <c r="D75" s="24"/>
      <c r="E75" s="120" t="s">
        <v>224</v>
      </c>
      <c r="F75" s="116"/>
      <c r="G75" s="116"/>
      <c r="H75" s="116"/>
      <c r="I75" s="49" t="s">
        <v>114</v>
      </c>
      <c r="J75" s="14" t="s">
        <v>108</v>
      </c>
      <c r="K75" s="14" t="s">
        <v>18</v>
      </c>
      <c r="L75" s="14" t="s">
        <v>11</v>
      </c>
      <c r="M75" s="60">
        <v>10.1</v>
      </c>
      <c r="N75" s="60"/>
      <c r="O75" s="60">
        <f t="shared" si="39"/>
        <v>10.1</v>
      </c>
      <c r="P75" s="94">
        <v>10.1</v>
      </c>
      <c r="Q75" s="94"/>
      <c r="R75" s="94">
        <f t="shared" si="40"/>
        <v>10.1</v>
      </c>
      <c r="S75" s="23"/>
      <c r="T75" s="8"/>
      <c r="U75" s="35"/>
    </row>
    <row r="76" spans="1:21" ht="101.25" collapsed="1" x14ac:dyDescent="0.2">
      <c r="A76" s="41"/>
      <c r="B76" s="4"/>
      <c r="C76" s="5"/>
      <c r="D76" s="124" t="s">
        <v>333</v>
      </c>
      <c r="E76" s="122"/>
      <c r="F76" s="122"/>
      <c r="G76" s="122"/>
      <c r="H76" s="122"/>
      <c r="I76" s="48" t="s">
        <v>113</v>
      </c>
      <c r="J76" s="13" t="s">
        <v>108</v>
      </c>
      <c r="K76" s="13" t="s">
        <v>27</v>
      </c>
      <c r="L76" s="13" t="s">
        <v>4</v>
      </c>
      <c r="M76" s="61">
        <f>M77+M78+M79</f>
        <v>704121.89999999991</v>
      </c>
      <c r="N76" s="61">
        <f>N77+N78+N79</f>
        <v>0</v>
      </c>
      <c r="O76" s="61">
        <f>SUM(M76:N76)</f>
        <v>704121.89999999991</v>
      </c>
      <c r="P76" s="93">
        <f>P77+P78+P79</f>
        <v>704121.89999999991</v>
      </c>
      <c r="Q76" s="93">
        <f>Q77+Q78+Q79</f>
        <v>70747.900000000023</v>
      </c>
      <c r="R76" s="93">
        <f>SUM(P76:Q76)</f>
        <v>774869.79999999993</v>
      </c>
      <c r="S76" s="32" t="s">
        <v>397</v>
      </c>
      <c r="T76" s="8"/>
      <c r="U76" s="35"/>
    </row>
    <row r="77" spans="1:21" ht="41.25" hidden="1" customHeight="1" outlineLevel="1" x14ac:dyDescent="0.2">
      <c r="A77" s="41"/>
      <c r="B77" s="4"/>
      <c r="C77" s="5"/>
      <c r="D77" s="45"/>
      <c r="E77" s="116" t="s">
        <v>225</v>
      </c>
      <c r="F77" s="116"/>
      <c r="G77" s="116"/>
      <c r="H77" s="116"/>
      <c r="I77" s="49" t="s">
        <v>112</v>
      </c>
      <c r="J77" s="14" t="s">
        <v>108</v>
      </c>
      <c r="K77" s="14" t="s">
        <v>27</v>
      </c>
      <c r="L77" s="14" t="s">
        <v>13</v>
      </c>
      <c r="M77" s="60">
        <v>77891.899999999994</v>
      </c>
      <c r="N77" s="60"/>
      <c r="O77" s="60">
        <f t="shared" si="39"/>
        <v>77891.899999999994</v>
      </c>
      <c r="P77" s="94">
        <v>77891.899999999994</v>
      </c>
      <c r="Q77" s="94">
        <v>-25</v>
      </c>
      <c r="R77" s="94">
        <f t="shared" ref="R77:R81" si="41">SUM(P77:Q77)</f>
        <v>77866.899999999994</v>
      </c>
      <c r="S77" s="23" t="s">
        <v>395</v>
      </c>
      <c r="T77" s="8"/>
      <c r="U77" s="35"/>
    </row>
    <row r="78" spans="1:21" ht="77.25" hidden="1" customHeight="1" outlineLevel="1" x14ac:dyDescent="0.2">
      <c r="A78" s="41"/>
      <c r="B78" s="4"/>
      <c r="C78" s="5"/>
      <c r="D78" s="45"/>
      <c r="E78" s="120" t="s">
        <v>226</v>
      </c>
      <c r="F78" s="116"/>
      <c r="G78" s="116"/>
      <c r="H78" s="116"/>
      <c r="I78" s="49" t="s">
        <v>111</v>
      </c>
      <c r="J78" s="14" t="s">
        <v>108</v>
      </c>
      <c r="K78" s="14" t="s">
        <v>27</v>
      </c>
      <c r="L78" s="14" t="s">
        <v>26</v>
      </c>
      <c r="M78" s="60">
        <v>16586.900000000001</v>
      </c>
      <c r="N78" s="60"/>
      <c r="O78" s="60">
        <f t="shared" si="39"/>
        <v>16586.900000000001</v>
      </c>
      <c r="P78" s="94">
        <v>16586.900000000001</v>
      </c>
      <c r="Q78" s="94"/>
      <c r="R78" s="94">
        <f t="shared" si="41"/>
        <v>16586.900000000001</v>
      </c>
      <c r="S78" s="23"/>
      <c r="T78" s="8"/>
      <c r="U78" s="35"/>
    </row>
    <row r="79" spans="1:21" ht="97.5" hidden="1" customHeight="1" outlineLevel="1" x14ac:dyDescent="0.2">
      <c r="A79" s="41"/>
      <c r="B79" s="4"/>
      <c r="C79" s="5"/>
      <c r="D79" s="45"/>
      <c r="E79" s="147" t="s">
        <v>227</v>
      </c>
      <c r="F79" s="148"/>
      <c r="G79" s="148"/>
      <c r="H79" s="149"/>
      <c r="I79" s="49" t="s">
        <v>110</v>
      </c>
      <c r="J79" s="14" t="s">
        <v>108</v>
      </c>
      <c r="K79" s="14" t="s">
        <v>27</v>
      </c>
      <c r="L79" s="14" t="s">
        <v>109</v>
      </c>
      <c r="M79" s="60">
        <v>609643.1</v>
      </c>
      <c r="N79" s="60"/>
      <c r="O79" s="60">
        <f t="shared" si="39"/>
        <v>609643.1</v>
      </c>
      <c r="P79" s="94">
        <v>609643.1</v>
      </c>
      <c r="Q79" s="94">
        <f>223134.2-157315.4+4954.1</f>
        <v>70772.900000000023</v>
      </c>
      <c r="R79" s="94">
        <f t="shared" si="41"/>
        <v>680416</v>
      </c>
      <c r="S79" s="67" t="s">
        <v>396</v>
      </c>
      <c r="T79" s="8"/>
      <c r="U79" s="35"/>
    </row>
    <row r="80" spans="1:21" ht="45" customHeight="1" collapsed="1" x14ac:dyDescent="0.2">
      <c r="A80" s="41"/>
      <c r="B80" s="4"/>
      <c r="C80" s="5"/>
      <c r="D80" s="124" t="s">
        <v>339</v>
      </c>
      <c r="E80" s="122"/>
      <c r="F80" s="122"/>
      <c r="G80" s="122"/>
      <c r="H80" s="122"/>
      <c r="I80" s="48" t="s">
        <v>107</v>
      </c>
      <c r="J80" s="13" t="s">
        <v>108</v>
      </c>
      <c r="K80" s="13" t="s">
        <v>40</v>
      </c>
      <c r="L80" s="13" t="s">
        <v>4</v>
      </c>
      <c r="M80" s="61">
        <f>SUM(M81)</f>
        <v>161.30000000000001</v>
      </c>
      <c r="N80" s="61">
        <f>SUM(N81)</f>
        <v>0</v>
      </c>
      <c r="O80" s="61">
        <f t="shared" si="39"/>
        <v>161.30000000000001</v>
      </c>
      <c r="P80" s="93">
        <f>SUM(P81)</f>
        <v>161.30000000000001</v>
      </c>
      <c r="Q80" s="93">
        <f>SUM(Q81)</f>
        <v>0</v>
      </c>
      <c r="R80" s="93">
        <f t="shared" si="41"/>
        <v>161.30000000000001</v>
      </c>
      <c r="S80" s="22"/>
      <c r="T80" s="8"/>
      <c r="U80" s="35"/>
    </row>
    <row r="81" spans="1:22" ht="54" hidden="1" customHeight="1" outlineLevel="1" x14ac:dyDescent="0.2">
      <c r="A81" s="41"/>
      <c r="B81" s="4"/>
      <c r="C81" s="5"/>
      <c r="D81" s="24"/>
      <c r="E81" s="120" t="s">
        <v>228</v>
      </c>
      <c r="F81" s="116"/>
      <c r="G81" s="116"/>
      <c r="H81" s="116"/>
      <c r="I81" s="49" t="s">
        <v>107</v>
      </c>
      <c r="J81" s="14" t="s">
        <v>108</v>
      </c>
      <c r="K81" s="14" t="s">
        <v>40</v>
      </c>
      <c r="L81" s="14" t="s">
        <v>13</v>
      </c>
      <c r="M81" s="60">
        <v>161.30000000000001</v>
      </c>
      <c r="N81" s="60"/>
      <c r="O81" s="60">
        <f t="shared" si="39"/>
        <v>161.30000000000001</v>
      </c>
      <c r="P81" s="94">
        <v>161.30000000000001</v>
      </c>
      <c r="Q81" s="94"/>
      <c r="R81" s="94">
        <f t="shared" si="41"/>
        <v>161.30000000000001</v>
      </c>
      <c r="S81" s="67"/>
      <c r="T81" s="8"/>
      <c r="U81" s="35"/>
    </row>
    <row r="82" spans="1:22" ht="39.75" customHeight="1" collapsed="1" x14ac:dyDescent="0.2">
      <c r="A82" s="41"/>
      <c r="B82" s="8"/>
      <c r="C82" s="21"/>
      <c r="D82" s="117" t="s">
        <v>314</v>
      </c>
      <c r="E82" s="129"/>
      <c r="F82" s="129"/>
      <c r="G82" s="129"/>
      <c r="H82" s="130"/>
      <c r="I82" s="50" t="s">
        <v>106</v>
      </c>
      <c r="J82" s="18" t="s">
        <v>103</v>
      </c>
      <c r="K82" s="18" t="s">
        <v>4</v>
      </c>
      <c r="L82" s="18" t="s">
        <v>4</v>
      </c>
      <c r="M82" s="62">
        <f>M83+M84+M86+M85</f>
        <v>31782.6</v>
      </c>
      <c r="N82" s="62">
        <f>N83+N84+N86+N85</f>
        <v>0</v>
      </c>
      <c r="O82" s="57">
        <f>SUM(M82:N82)</f>
        <v>31782.6</v>
      </c>
      <c r="P82" s="96">
        <f>P83+P84+P86+P85</f>
        <v>31782.6</v>
      </c>
      <c r="Q82" s="96">
        <f>Q83+Q84+Q86+Q85</f>
        <v>250</v>
      </c>
      <c r="R82" s="95">
        <f>SUM(P82:Q82)</f>
        <v>32032.6</v>
      </c>
      <c r="S82" s="31" t="s">
        <v>377</v>
      </c>
      <c r="T82" s="8"/>
      <c r="U82" s="35"/>
    </row>
    <row r="83" spans="1:22" ht="42.75" hidden="1" customHeight="1" outlineLevel="1" x14ac:dyDescent="0.2">
      <c r="A83" s="41"/>
      <c r="B83" s="4"/>
      <c r="C83" s="5"/>
      <c r="D83" s="24"/>
      <c r="E83" s="120" t="s">
        <v>229</v>
      </c>
      <c r="F83" s="116"/>
      <c r="G83" s="116"/>
      <c r="H83" s="116"/>
      <c r="I83" s="49" t="s">
        <v>105</v>
      </c>
      <c r="J83" s="14" t="s">
        <v>103</v>
      </c>
      <c r="K83" s="14" t="s">
        <v>2</v>
      </c>
      <c r="L83" s="14" t="s">
        <v>13</v>
      </c>
      <c r="M83" s="60">
        <v>700</v>
      </c>
      <c r="N83" s="60">
        <f>-110</f>
        <v>-110</v>
      </c>
      <c r="O83" s="60">
        <f t="shared" si="39"/>
        <v>590</v>
      </c>
      <c r="P83" s="94">
        <v>590</v>
      </c>
      <c r="Q83" s="94">
        <f>250</f>
        <v>250</v>
      </c>
      <c r="R83" s="94">
        <f t="shared" ref="R83:R86" si="42">SUM(P83:Q83)</f>
        <v>840</v>
      </c>
      <c r="S83" s="83" t="s">
        <v>377</v>
      </c>
      <c r="T83" s="8"/>
      <c r="U83" s="35"/>
    </row>
    <row r="84" spans="1:22" ht="48" hidden="1" customHeight="1" outlineLevel="1" x14ac:dyDescent="0.2">
      <c r="A84" s="41"/>
      <c r="B84" s="4"/>
      <c r="C84" s="5"/>
      <c r="D84" s="24"/>
      <c r="E84" s="120" t="s">
        <v>230</v>
      </c>
      <c r="F84" s="116"/>
      <c r="G84" s="116"/>
      <c r="H84" s="116"/>
      <c r="I84" s="49" t="s">
        <v>104</v>
      </c>
      <c r="J84" s="14" t="s">
        <v>103</v>
      </c>
      <c r="K84" s="14" t="s">
        <v>2</v>
      </c>
      <c r="L84" s="14" t="s">
        <v>11</v>
      </c>
      <c r="M84" s="60">
        <v>29582.6</v>
      </c>
      <c r="N84" s="60">
        <f>110</f>
        <v>110</v>
      </c>
      <c r="O84" s="60">
        <f t="shared" si="39"/>
        <v>29692.6</v>
      </c>
      <c r="P84" s="94">
        <v>29692.6</v>
      </c>
      <c r="Q84" s="94"/>
      <c r="R84" s="94">
        <f t="shared" si="42"/>
        <v>29692.6</v>
      </c>
      <c r="S84" s="83"/>
      <c r="T84" s="8"/>
      <c r="U84" s="35"/>
      <c r="V84" s="35"/>
    </row>
    <row r="85" spans="1:22" ht="27" hidden="1" customHeight="1" outlineLevel="1" x14ac:dyDescent="0.2">
      <c r="A85" s="41"/>
      <c r="B85" s="4"/>
      <c r="C85" s="5"/>
      <c r="D85" s="24"/>
      <c r="E85" s="116" t="s">
        <v>315</v>
      </c>
      <c r="F85" s="116"/>
      <c r="G85" s="116"/>
      <c r="H85" s="116"/>
      <c r="I85" s="49" t="s">
        <v>102</v>
      </c>
      <c r="J85" s="14" t="s">
        <v>103</v>
      </c>
      <c r="K85" s="14" t="s">
        <v>2</v>
      </c>
      <c r="L85" s="14" t="s">
        <v>26</v>
      </c>
      <c r="M85" s="60">
        <v>1500</v>
      </c>
      <c r="N85" s="60"/>
      <c r="O85" s="60">
        <f t="shared" si="39"/>
        <v>1500</v>
      </c>
      <c r="P85" s="94">
        <v>1500</v>
      </c>
      <c r="Q85" s="94"/>
      <c r="R85" s="94">
        <f t="shared" si="42"/>
        <v>1500</v>
      </c>
      <c r="S85" s="23"/>
      <c r="T85" s="8"/>
      <c r="U85" s="35"/>
    </row>
    <row r="86" spans="1:22" ht="40.5" hidden="1" customHeight="1" outlineLevel="1" x14ac:dyDescent="0.2">
      <c r="A86" s="41"/>
      <c r="B86" s="4"/>
      <c r="C86" s="5"/>
      <c r="D86" s="24"/>
      <c r="E86" s="116" t="s">
        <v>300</v>
      </c>
      <c r="F86" s="116"/>
      <c r="G86" s="116"/>
      <c r="H86" s="116"/>
      <c r="I86" s="49" t="s">
        <v>102</v>
      </c>
      <c r="J86" s="14" t="s">
        <v>103</v>
      </c>
      <c r="K86" s="14" t="s">
        <v>2</v>
      </c>
      <c r="L86" s="14" t="s">
        <v>301</v>
      </c>
      <c r="M86" s="60">
        <v>0</v>
      </c>
      <c r="N86" s="60"/>
      <c r="O86" s="60">
        <f t="shared" si="39"/>
        <v>0</v>
      </c>
      <c r="P86" s="94">
        <v>0</v>
      </c>
      <c r="Q86" s="94"/>
      <c r="R86" s="94">
        <f t="shared" si="42"/>
        <v>0</v>
      </c>
      <c r="S86" s="23"/>
      <c r="T86" s="8"/>
      <c r="U86" s="35"/>
    </row>
    <row r="87" spans="1:22" ht="30.75" customHeight="1" collapsed="1" x14ac:dyDescent="0.2">
      <c r="A87" s="41"/>
      <c r="B87" s="8"/>
      <c r="C87" s="21"/>
      <c r="D87" s="117" t="s">
        <v>324</v>
      </c>
      <c r="E87" s="129"/>
      <c r="F87" s="129"/>
      <c r="G87" s="129"/>
      <c r="H87" s="130"/>
      <c r="I87" s="50" t="s">
        <v>101</v>
      </c>
      <c r="J87" s="18" t="s">
        <v>95</v>
      </c>
      <c r="K87" s="18" t="s">
        <v>4</v>
      </c>
      <c r="L87" s="18" t="s">
        <v>4</v>
      </c>
      <c r="M87" s="62">
        <f>M88+M91+M93</f>
        <v>108500</v>
      </c>
      <c r="N87" s="62">
        <f>N88+N91+N93</f>
        <v>38162.5</v>
      </c>
      <c r="O87" s="57">
        <f>SUM(M87:N87)</f>
        <v>146662.5</v>
      </c>
      <c r="P87" s="96">
        <f>P88+P91+P93</f>
        <v>146662.5</v>
      </c>
      <c r="Q87" s="96">
        <f>Q88+Q91+Q93</f>
        <v>35518.5</v>
      </c>
      <c r="R87" s="95">
        <f>SUM(P87:Q87)</f>
        <v>182181</v>
      </c>
      <c r="S87" s="30"/>
      <c r="T87" s="8"/>
      <c r="U87" s="35"/>
    </row>
    <row r="88" spans="1:22" ht="146.25" x14ac:dyDescent="0.2">
      <c r="A88" s="41"/>
      <c r="B88" s="4"/>
      <c r="C88" s="5"/>
      <c r="D88" s="123" t="s">
        <v>231</v>
      </c>
      <c r="E88" s="122"/>
      <c r="F88" s="122"/>
      <c r="G88" s="122"/>
      <c r="H88" s="122"/>
      <c r="I88" s="48" t="s">
        <v>100</v>
      </c>
      <c r="J88" s="13" t="s">
        <v>95</v>
      </c>
      <c r="K88" s="13" t="s">
        <v>23</v>
      </c>
      <c r="L88" s="13" t="s">
        <v>4</v>
      </c>
      <c r="M88" s="61">
        <f>M89+M90</f>
        <v>8500</v>
      </c>
      <c r="N88" s="61">
        <f>N89+N90</f>
        <v>-1837.5</v>
      </c>
      <c r="O88" s="61">
        <f>SUM(M88:N88)</f>
        <v>6662.5</v>
      </c>
      <c r="P88" s="93">
        <f>P89+P90</f>
        <v>6662.5</v>
      </c>
      <c r="Q88" s="93">
        <f>Q89+Q90</f>
        <v>27518.5</v>
      </c>
      <c r="R88" s="93">
        <f>SUM(P88:Q88)</f>
        <v>34181</v>
      </c>
      <c r="S88" s="22" t="s">
        <v>431</v>
      </c>
      <c r="T88" s="8"/>
      <c r="U88" s="35"/>
    </row>
    <row r="89" spans="1:22" ht="123.75" hidden="1" outlineLevel="1" x14ac:dyDescent="0.2">
      <c r="A89" s="41"/>
      <c r="B89" s="4"/>
      <c r="C89" s="5"/>
      <c r="D89" s="24"/>
      <c r="E89" s="120" t="s">
        <v>232</v>
      </c>
      <c r="F89" s="116"/>
      <c r="G89" s="116"/>
      <c r="H89" s="116"/>
      <c r="I89" s="49" t="s">
        <v>99</v>
      </c>
      <c r="J89" s="14" t="s">
        <v>95</v>
      </c>
      <c r="K89" s="14" t="s">
        <v>23</v>
      </c>
      <c r="L89" s="14" t="s">
        <v>13</v>
      </c>
      <c r="M89" s="60">
        <v>0</v>
      </c>
      <c r="N89" s="60"/>
      <c r="O89" s="60">
        <f t="shared" ref="O89:O90" si="43">SUM(M89:N89)</f>
        <v>0</v>
      </c>
      <c r="P89" s="94">
        <v>0</v>
      </c>
      <c r="Q89" s="94">
        <f>2200+8000+580+5000+5000</f>
        <v>20780</v>
      </c>
      <c r="R89" s="94">
        <f t="shared" ref="R89:R90" si="44">SUM(P89:Q89)</f>
        <v>20780</v>
      </c>
      <c r="S89" s="23" t="s">
        <v>430</v>
      </c>
      <c r="T89" s="8"/>
      <c r="U89" s="35"/>
    </row>
    <row r="90" spans="1:22" ht="22.5" hidden="1" outlineLevel="1" x14ac:dyDescent="0.2">
      <c r="A90" s="41"/>
      <c r="B90" s="4"/>
      <c r="C90" s="5"/>
      <c r="D90" s="24"/>
      <c r="E90" s="120" t="s">
        <v>233</v>
      </c>
      <c r="F90" s="116"/>
      <c r="G90" s="116"/>
      <c r="H90" s="116"/>
      <c r="I90" s="49" t="s">
        <v>98</v>
      </c>
      <c r="J90" s="14" t="s">
        <v>95</v>
      </c>
      <c r="K90" s="14" t="s">
        <v>23</v>
      </c>
      <c r="L90" s="14" t="s">
        <v>11</v>
      </c>
      <c r="M90" s="60">
        <v>8500</v>
      </c>
      <c r="N90" s="60">
        <v>-1837.5</v>
      </c>
      <c r="O90" s="60">
        <f t="shared" si="43"/>
        <v>6662.5</v>
      </c>
      <c r="P90" s="94">
        <v>6662.5</v>
      </c>
      <c r="Q90" s="94">
        <v>6738.5</v>
      </c>
      <c r="R90" s="94">
        <f t="shared" si="44"/>
        <v>13401</v>
      </c>
      <c r="S90" s="23" t="s">
        <v>383</v>
      </c>
      <c r="T90" s="8"/>
      <c r="U90" s="35"/>
    </row>
    <row r="91" spans="1:22" ht="69" customHeight="1" collapsed="1" x14ac:dyDescent="0.2">
      <c r="A91" s="41"/>
      <c r="B91" s="4"/>
      <c r="C91" s="5"/>
      <c r="D91" s="124" t="s">
        <v>340</v>
      </c>
      <c r="E91" s="122"/>
      <c r="F91" s="122"/>
      <c r="G91" s="122"/>
      <c r="H91" s="122"/>
      <c r="I91" s="48" t="s">
        <v>97</v>
      </c>
      <c r="J91" s="13" t="s">
        <v>95</v>
      </c>
      <c r="K91" s="13" t="s">
        <v>18</v>
      </c>
      <c r="L91" s="13" t="s">
        <v>4</v>
      </c>
      <c r="M91" s="61">
        <f>M92</f>
        <v>100000</v>
      </c>
      <c r="N91" s="61">
        <f>N92</f>
        <v>40000</v>
      </c>
      <c r="O91" s="61">
        <f>SUM(M91:N91)</f>
        <v>140000</v>
      </c>
      <c r="P91" s="93">
        <f>P92</f>
        <v>140000</v>
      </c>
      <c r="Q91" s="93">
        <f>Q92</f>
        <v>8000</v>
      </c>
      <c r="R91" s="93">
        <f>SUM(P91:Q91)</f>
        <v>148000</v>
      </c>
      <c r="S91" s="22" t="s">
        <v>428</v>
      </c>
      <c r="T91" s="8"/>
      <c r="U91" s="35"/>
    </row>
    <row r="92" spans="1:22" ht="60.75" hidden="1" customHeight="1" outlineLevel="1" x14ac:dyDescent="0.2">
      <c r="A92" s="41"/>
      <c r="B92" s="4"/>
      <c r="C92" s="5"/>
      <c r="D92" s="24"/>
      <c r="E92" s="120" t="s">
        <v>234</v>
      </c>
      <c r="F92" s="116"/>
      <c r="G92" s="116"/>
      <c r="H92" s="116"/>
      <c r="I92" s="49" t="s">
        <v>97</v>
      </c>
      <c r="J92" s="14" t="s">
        <v>95</v>
      </c>
      <c r="K92" s="14" t="s">
        <v>18</v>
      </c>
      <c r="L92" s="14" t="s">
        <v>13</v>
      </c>
      <c r="M92" s="60">
        <v>100000</v>
      </c>
      <c r="N92" s="60">
        <v>40000</v>
      </c>
      <c r="O92" s="60">
        <f t="shared" ref="O92:O94" si="45">SUM(M92:N92)</f>
        <v>140000</v>
      </c>
      <c r="P92" s="94">
        <v>140000</v>
      </c>
      <c r="Q92" s="94">
        <v>8000</v>
      </c>
      <c r="R92" s="94">
        <f t="shared" ref="R92" si="46">SUM(P92:Q92)</f>
        <v>148000</v>
      </c>
      <c r="S92" s="23" t="s">
        <v>382</v>
      </c>
      <c r="T92" s="8"/>
      <c r="U92" s="35"/>
    </row>
    <row r="93" spans="1:22" ht="36" customHeight="1" collapsed="1" x14ac:dyDescent="0.2">
      <c r="A93" s="41"/>
      <c r="B93" s="4"/>
      <c r="C93" s="5"/>
      <c r="D93" s="124" t="s">
        <v>341</v>
      </c>
      <c r="E93" s="122"/>
      <c r="F93" s="122"/>
      <c r="G93" s="122"/>
      <c r="H93" s="122"/>
      <c r="I93" s="48" t="s">
        <v>96</v>
      </c>
      <c r="J93" s="13" t="s">
        <v>95</v>
      </c>
      <c r="K93" s="13" t="s">
        <v>27</v>
      </c>
      <c r="L93" s="13" t="s">
        <v>4</v>
      </c>
      <c r="M93" s="61">
        <f>M94</f>
        <v>0</v>
      </c>
      <c r="N93" s="61">
        <f t="shared" ref="N93:R93" si="47">N94</f>
        <v>0</v>
      </c>
      <c r="O93" s="61">
        <f t="shared" si="47"/>
        <v>0</v>
      </c>
      <c r="P93" s="93">
        <f>P94</f>
        <v>0</v>
      </c>
      <c r="Q93" s="93">
        <f t="shared" si="47"/>
        <v>0</v>
      </c>
      <c r="R93" s="93">
        <f t="shared" si="47"/>
        <v>0</v>
      </c>
      <c r="S93" s="22"/>
      <c r="T93" s="8"/>
      <c r="U93" s="35"/>
    </row>
    <row r="94" spans="1:22" ht="35.25" hidden="1" customHeight="1" outlineLevel="1" x14ac:dyDescent="0.2">
      <c r="A94" s="41"/>
      <c r="B94" s="4"/>
      <c r="C94" s="5"/>
      <c r="D94" s="24"/>
      <c r="E94" s="120" t="s">
        <v>235</v>
      </c>
      <c r="F94" s="116"/>
      <c r="G94" s="116"/>
      <c r="H94" s="116"/>
      <c r="I94" s="49" t="s">
        <v>96</v>
      </c>
      <c r="J94" s="14" t="s">
        <v>95</v>
      </c>
      <c r="K94" s="14" t="s">
        <v>27</v>
      </c>
      <c r="L94" s="14" t="s">
        <v>13</v>
      </c>
      <c r="M94" s="60">
        <v>0</v>
      </c>
      <c r="N94" s="60"/>
      <c r="O94" s="60">
        <f t="shared" si="45"/>
        <v>0</v>
      </c>
      <c r="P94" s="94">
        <v>0</v>
      </c>
      <c r="Q94" s="94"/>
      <c r="R94" s="94">
        <f t="shared" ref="R94" si="48">SUM(P94:Q94)</f>
        <v>0</v>
      </c>
      <c r="S94" s="23"/>
      <c r="T94" s="8"/>
      <c r="U94" s="35"/>
    </row>
    <row r="95" spans="1:22" ht="42" customHeight="1" collapsed="1" x14ac:dyDescent="0.2">
      <c r="A95" s="41"/>
      <c r="B95" s="8"/>
      <c r="C95" s="21"/>
      <c r="D95" s="117" t="s">
        <v>325</v>
      </c>
      <c r="E95" s="129"/>
      <c r="F95" s="129"/>
      <c r="G95" s="129"/>
      <c r="H95" s="130"/>
      <c r="I95" s="50" t="s">
        <v>94</v>
      </c>
      <c r="J95" s="18" t="s">
        <v>84</v>
      </c>
      <c r="K95" s="18" t="s">
        <v>4</v>
      </c>
      <c r="L95" s="18" t="s">
        <v>4</v>
      </c>
      <c r="M95" s="62">
        <f>M96+M101+M106+M108+M110</f>
        <v>44945.599999999999</v>
      </c>
      <c r="N95" s="62">
        <f>N96+N101+N106+N108+N110</f>
        <v>9029.2000000000007</v>
      </c>
      <c r="O95" s="57">
        <f>SUM(M95:N95)</f>
        <v>53974.8</v>
      </c>
      <c r="P95" s="96">
        <f>P96+P101+P106+P108+P110</f>
        <v>53974.799999999996</v>
      </c>
      <c r="Q95" s="96">
        <f>Q96+Q101+Q106+Q108+Q110</f>
        <v>6364.8</v>
      </c>
      <c r="R95" s="95">
        <f>SUM(P95:Q95)</f>
        <v>60339.6</v>
      </c>
      <c r="S95" s="30"/>
      <c r="T95" s="8"/>
      <c r="U95" s="35"/>
    </row>
    <row r="96" spans="1:22" ht="236.25" x14ac:dyDescent="0.2">
      <c r="A96" s="41"/>
      <c r="B96" s="4"/>
      <c r="C96" s="5"/>
      <c r="D96" s="124" t="s">
        <v>334</v>
      </c>
      <c r="E96" s="122"/>
      <c r="F96" s="122"/>
      <c r="G96" s="122"/>
      <c r="H96" s="122"/>
      <c r="I96" s="48" t="s">
        <v>93</v>
      </c>
      <c r="J96" s="13" t="s">
        <v>84</v>
      </c>
      <c r="K96" s="13" t="s">
        <v>23</v>
      </c>
      <c r="L96" s="13" t="s">
        <v>4</v>
      </c>
      <c r="M96" s="61">
        <f>M97+M98+M99+M100</f>
        <v>33231</v>
      </c>
      <c r="N96" s="61">
        <f>N97+N98+N99+N100</f>
        <v>10279.200000000001</v>
      </c>
      <c r="O96" s="61">
        <f>SUM(M96:N96)</f>
        <v>43510.2</v>
      </c>
      <c r="P96" s="93">
        <f>P97+P98+P99+P100</f>
        <v>43510.2</v>
      </c>
      <c r="Q96" s="93">
        <f>Q97+Q98+Q99+Q100</f>
        <v>-622.60000000000036</v>
      </c>
      <c r="R96" s="93">
        <f>SUM(P96:Q96)</f>
        <v>42887.6</v>
      </c>
      <c r="S96" s="22" t="s">
        <v>432</v>
      </c>
      <c r="T96" s="8"/>
      <c r="U96" s="35"/>
    </row>
    <row r="97" spans="1:21" ht="51" hidden="1" customHeight="1" outlineLevel="2" x14ac:dyDescent="0.2">
      <c r="A97" s="41"/>
      <c r="B97" s="4"/>
      <c r="C97" s="5"/>
      <c r="D97" s="24"/>
      <c r="E97" s="116" t="s">
        <v>348</v>
      </c>
      <c r="F97" s="116"/>
      <c r="G97" s="116"/>
      <c r="H97" s="116"/>
      <c r="I97" s="49" t="s">
        <v>92</v>
      </c>
      <c r="J97" s="14" t="s">
        <v>84</v>
      </c>
      <c r="K97" s="14" t="s">
        <v>23</v>
      </c>
      <c r="L97" s="14" t="s">
        <v>13</v>
      </c>
      <c r="M97" s="60">
        <v>2931</v>
      </c>
      <c r="N97" s="60">
        <f>3191.7</f>
        <v>3191.7</v>
      </c>
      <c r="O97" s="60">
        <f t="shared" ref="O97:O116" si="49">SUM(M97:N97)</f>
        <v>6122.7</v>
      </c>
      <c r="P97" s="94">
        <v>6122.7</v>
      </c>
      <c r="Q97" s="94"/>
      <c r="R97" s="94">
        <f t="shared" ref="R97:R100" si="50">SUM(P97:Q97)</f>
        <v>6122.7</v>
      </c>
      <c r="S97" s="23"/>
      <c r="T97" s="8"/>
      <c r="U97" s="35"/>
    </row>
    <row r="98" spans="1:21" ht="157.5" hidden="1" outlineLevel="2" x14ac:dyDescent="0.2">
      <c r="A98" s="41"/>
      <c r="B98" s="4"/>
      <c r="C98" s="5"/>
      <c r="D98" s="24"/>
      <c r="E98" s="116" t="s">
        <v>358</v>
      </c>
      <c r="F98" s="116"/>
      <c r="G98" s="116"/>
      <c r="H98" s="116"/>
      <c r="I98" s="49" t="s">
        <v>91</v>
      </c>
      <c r="J98" s="14" t="s">
        <v>84</v>
      </c>
      <c r="K98" s="14" t="s">
        <v>23</v>
      </c>
      <c r="L98" s="14" t="s">
        <v>11</v>
      </c>
      <c r="M98" s="60">
        <v>22600</v>
      </c>
      <c r="N98" s="60">
        <f>1500-3251</f>
        <v>-1751</v>
      </c>
      <c r="O98" s="60">
        <f t="shared" si="49"/>
        <v>20849</v>
      </c>
      <c r="P98" s="94">
        <v>20849</v>
      </c>
      <c r="Q98" s="94">
        <f>400+700+500+400+700+3500+1000+1000</f>
        <v>8200</v>
      </c>
      <c r="R98" s="94">
        <f t="shared" si="50"/>
        <v>29049</v>
      </c>
      <c r="S98" s="23" t="s">
        <v>429</v>
      </c>
      <c r="T98" s="8"/>
      <c r="U98" s="35"/>
    </row>
    <row r="99" spans="1:21" ht="36.75" hidden="1" customHeight="1" outlineLevel="2" x14ac:dyDescent="0.2">
      <c r="A99" s="41"/>
      <c r="B99" s="4"/>
      <c r="C99" s="5"/>
      <c r="D99" s="24"/>
      <c r="E99" s="116" t="s">
        <v>352</v>
      </c>
      <c r="F99" s="116"/>
      <c r="G99" s="116"/>
      <c r="H99" s="116"/>
      <c r="I99" s="63" t="s">
        <v>353</v>
      </c>
      <c r="J99" s="37" t="s">
        <v>84</v>
      </c>
      <c r="K99" s="37" t="s">
        <v>23</v>
      </c>
      <c r="L99" s="37" t="s">
        <v>26</v>
      </c>
      <c r="M99" s="60">
        <v>7700</v>
      </c>
      <c r="N99" s="60">
        <f>-1500</f>
        <v>-1500</v>
      </c>
      <c r="O99" s="60">
        <f t="shared" si="49"/>
        <v>6200</v>
      </c>
      <c r="P99" s="94">
        <v>6200</v>
      </c>
      <c r="Q99" s="94">
        <f>-1300-184</f>
        <v>-1484</v>
      </c>
      <c r="R99" s="94">
        <f t="shared" si="50"/>
        <v>4716</v>
      </c>
      <c r="S99" s="23" t="s">
        <v>417</v>
      </c>
      <c r="T99" s="8"/>
      <c r="U99" s="35"/>
    </row>
    <row r="100" spans="1:21" ht="36.75" hidden="1" customHeight="1" outlineLevel="2" x14ac:dyDescent="0.2">
      <c r="A100" s="41"/>
      <c r="B100" s="4"/>
      <c r="C100" s="5"/>
      <c r="D100" s="24"/>
      <c r="E100" s="186" t="s">
        <v>359</v>
      </c>
      <c r="F100" s="162"/>
      <c r="G100" s="162"/>
      <c r="H100" s="163"/>
      <c r="I100" s="63"/>
      <c r="J100" s="37" t="s">
        <v>84</v>
      </c>
      <c r="K100" s="37" t="s">
        <v>23</v>
      </c>
      <c r="L100" s="37" t="s">
        <v>10</v>
      </c>
      <c r="M100" s="60">
        <v>0</v>
      </c>
      <c r="N100" s="60">
        <v>10338.5</v>
      </c>
      <c r="O100" s="60">
        <f t="shared" si="49"/>
        <v>10338.5</v>
      </c>
      <c r="P100" s="94">
        <v>10338.5</v>
      </c>
      <c r="Q100" s="94">
        <f>-8338.6+1000</f>
        <v>-7338.6</v>
      </c>
      <c r="R100" s="94">
        <f t="shared" si="50"/>
        <v>2999.8999999999996</v>
      </c>
      <c r="S100" s="23" t="s">
        <v>416</v>
      </c>
      <c r="T100" s="8"/>
      <c r="U100" s="35"/>
    </row>
    <row r="101" spans="1:21" ht="146.25" collapsed="1" x14ac:dyDescent="0.2">
      <c r="A101" s="41"/>
      <c r="B101" s="4"/>
      <c r="C101" s="5"/>
      <c r="D101" s="124" t="s">
        <v>335</v>
      </c>
      <c r="E101" s="122"/>
      <c r="F101" s="122"/>
      <c r="G101" s="122"/>
      <c r="H101" s="122"/>
      <c r="I101" s="48" t="s">
        <v>90</v>
      </c>
      <c r="J101" s="13" t="s">
        <v>84</v>
      </c>
      <c r="K101" s="13" t="s">
        <v>18</v>
      </c>
      <c r="L101" s="13" t="s">
        <v>4</v>
      </c>
      <c r="M101" s="61">
        <f>M102+M103+M104+M105</f>
        <v>10964.599999999999</v>
      </c>
      <c r="N101" s="61">
        <f t="shared" ref="N101:O101" si="51">N102+N103+N104+N105</f>
        <v>-500</v>
      </c>
      <c r="O101" s="61">
        <f t="shared" si="51"/>
        <v>10464.599999999999</v>
      </c>
      <c r="P101" s="93">
        <f>P102+P103+P104+P105</f>
        <v>10464.599999999999</v>
      </c>
      <c r="Q101" s="93">
        <f t="shared" ref="Q101:R101" si="52">Q102+Q103+Q104+Q105</f>
        <v>5987.4000000000005</v>
      </c>
      <c r="R101" s="93">
        <f t="shared" si="52"/>
        <v>16452</v>
      </c>
      <c r="S101" s="22" t="s">
        <v>419</v>
      </c>
      <c r="T101" s="8"/>
      <c r="U101" s="35"/>
    </row>
    <row r="102" spans="1:21" ht="67.5" hidden="1" outlineLevel="1" x14ac:dyDescent="0.2">
      <c r="A102" s="41"/>
      <c r="B102" s="4"/>
      <c r="C102" s="5"/>
      <c r="D102" s="24"/>
      <c r="E102" s="120" t="s">
        <v>236</v>
      </c>
      <c r="F102" s="116"/>
      <c r="G102" s="116"/>
      <c r="H102" s="116"/>
      <c r="I102" s="49" t="s">
        <v>89</v>
      </c>
      <c r="J102" s="14" t="s">
        <v>84</v>
      </c>
      <c r="K102" s="14" t="s">
        <v>18</v>
      </c>
      <c r="L102" s="14" t="s">
        <v>13</v>
      </c>
      <c r="M102" s="60">
        <v>4850.8999999999996</v>
      </c>
      <c r="N102" s="60">
        <f>-500</f>
        <v>-500</v>
      </c>
      <c r="O102" s="60">
        <f t="shared" si="49"/>
        <v>4350.8999999999996</v>
      </c>
      <c r="P102" s="94">
        <v>4350.8999999999996</v>
      </c>
      <c r="Q102" s="94">
        <f>5290+933.5+526</f>
        <v>6749.5</v>
      </c>
      <c r="R102" s="94">
        <f t="shared" ref="R102:R105" si="53">SUM(P102:Q102)</f>
        <v>11100.4</v>
      </c>
      <c r="S102" s="23" t="s">
        <v>420</v>
      </c>
      <c r="T102" s="8"/>
      <c r="U102" s="35"/>
    </row>
    <row r="103" spans="1:21" ht="37.5" hidden="1" customHeight="1" outlineLevel="1" x14ac:dyDescent="0.2">
      <c r="A103" s="41"/>
      <c r="B103" s="4"/>
      <c r="C103" s="5"/>
      <c r="D103" s="24"/>
      <c r="E103" s="116" t="s">
        <v>237</v>
      </c>
      <c r="F103" s="116"/>
      <c r="G103" s="116"/>
      <c r="H103" s="116"/>
      <c r="I103" s="49" t="s">
        <v>88</v>
      </c>
      <c r="J103" s="14" t="s">
        <v>84</v>
      </c>
      <c r="K103" s="14" t="s">
        <v>18</v>
      </c>
      <c r="L103" s="14" t="s">
        <v>11</v>
      </c>
      <c r="M103" s="60">
        <v>1000</v>
      </c>
      <c r="N103" s="60"/>
      <c r="O103" s="60">
        <f t="shared" si="49"/>
        <v>1000</v>
      </c>
      <c r="P103" s="94">
        <v>1000</v>
      </c>
      <c r="Q103" s="94">
        <f>-460.4</f>
        <v>-460.4</v>
      </c>
      <c r="R103" s="94">
        <f t="shared" si="53"/>
        <v>539.6</v>
      </c>
      <c r="S103" s="23" t="s">
        <v>415</v>
      </c>
      <c r="T103" s="8"/>
      <c r="U103" s="35"/>
    </row>
    <row r="104" spans="1:21" ht="56.25" hidden="1" outlineLevel="1" x14ac:dyDescent="0.2">
      <c r="A104" s="41"/>
      <c r="B104" s="4"/>
      <c r="C104" s="5"/>
      <c r="D104" s="24"/>
      <c r="E104" s="120" t="s">
        <v>238</v>
      </c>
      <c r="F104" s="116"/>
      <c r="G104" s="116"/>
      <c r="H104" s="116"/>
      <c r="I104" s="49" t="s">
        <v>87</v>
      </c>
      <c r="J104" s="14" t="s">
        <v>84</v>
      </c>
      <c r="K104" s="14" t="s">
        <v>18</v>
      </c>
      <c r="L104" s="14" t="s">
        <v>26</v>
      </c>
      <c r="M104" s="60">
        <v>5113.7</v>
      </c>
      <c r="N104" s="60"/>
      <c r="O104" s="60">
        <f t="shared" si="49"/>
        <v>5113.7</v>
      </c>
      <c r="P104" s="94">
        <v>5113.7</v>
      </c>
      <c r="Q104" s="94">
        <f>-113.3-188.4</f>
        <v>-301.7</v>
      </c>
      <c r="R104" s="94">
        <f t="shared" si="53"/>
        <v>4812</v>
      </c>
      <c r="S104" s="23" t="s">
        <v>421</v>
      </c>
      <c r="T104" s="8"/>
      <c r="U104" s="35"/>
    </row>
    <row r="105" spans="1:21" ht="79.5" hidden="1" customHeight="1" outlineLevel="1" x14ac:dyDescent="0.2">
      <c r="A105" s="126" t="s">
        <v>317</v>
      </c>
      <c r="B105" s="127"/>
      <c r="C105" s="127"/>
      <c r="D105" s="127"/>
      <c r="E105" s="127"/>
      <c r="F105" s="127"/>
      <c r="G105" s="127"/>
      <c r="H105" s="128"/>
      <c r="I105" s="49"/>
      <c r="J105" s="14" t="s">
        <v>84</v>
      </c>
      <c r="K105" s="14" t="s">
        <v>18</v>
      </c>
      <c r="L105" s="37" t="s">
        <v>10</v>
      </c>
      <c r="M105" s="60">
        <v>0</v>
      </c>
      <c r="N105" s="60"/>
      <c r="O105" s="60">
        <f t="shared" si="49"/>
        <v>0</v>
      </c>
      <c r="P105" s="94">
        <v>0</v>
      </c>
      <c r="Q105" s="94"/>
      <c r="R105" s="94">
        <f t="shared" si="53"/>
        <v>0</v>
      </c>
      <c r="S105" s="23"/>
      <c r="T105" s="8"/>
      <c r="U105" s="35"/>
    </row>
    <row r="106" spans="1:21" ht="33" customHeight="1" collapsed="1" x14ac:dyDescent="0.2">
      <c r="A106" s="41"/>
      <c r="B106" s="4"/>
      <c r="C106" s="5"/>
      <c r="D106" s="124" t="s">
        <v>342</v>
      </c>
      <c r="E106" s="122"/>
      <c r="F106" s="122"/>
      <c r="G106" s="122"/>
      <c r="H106" s="122"/>
      <c r="I106" s="48" t="s">
        <v>86</v>
      </c>
      <c r="J106" s="13" t="s">
        <v>84</v>
      </c>
      <c r="K106" s="13" t="s">
        <v>27</v>
      </c>
      <c r="L106" s="13" t="s">
        <v>4</v>
      </c>
      <c r="M106" s="61">
        <f>M107</f>
        <v>150</v>
      </c>
      <c r="N106" s="61">
        <f>N107</f>
        <v>-150</v>
      </c>
      <c r="O106" s="61">
        <f>SUM(M106:N106)</f>
        <v>0</v>
      </c>
      <c r="P106" s="93">
        <f>P107</f>
        <v>0</v>
      </c>
      <c r="Q106" s="93">
        <f>Q107</f>
        <v>0</v>
      </c>
      <c r="R106" s="93">
        <f>SUM(P106:Q106)</f>
        <v>0</v>
      </c>
      <c r="S106" s="22"/>
      <c r="T106" s="8"/>
      <c r="U106" s="35"/>
    </row>
    <row r="107" spans="1:21" ht="41.25" hidden="1" customHeight="1" outlineLevel="1" x14ac:dyDescent="0.2">
      <c r="A107" s="41"/>
      <c r="B107" s="4"/>
      <c r="C107" s="5"/>
      <c r="D107" s="24"/>
      <c r="E107" s="120" t="s">
        <v>239</v>
      </c>
      <c r="F107" s="116"/>
      <c r="G107" s="116"/>
      <c r="H107" s="116"/>
      <c r="I107" s="49" t="s">
        <v>86</v>
      </c>
      <c r="J107" s="14" t="s">
        <v>84</v>
      </c>
      <c r="K107" s="14" t="s">
        <v>27</v>
      </c>
      <c r="L107" s="14" t="s">
        <v>13</v>
      </c>
      <c r="M107" s="60">
        <v>150</v>
      </c>
      <c r="N107" s="60">
        <v>-150</v>
      </c>
      <c r="O107" s="60">
        <f t="shared" si="49"/>
        <v>0</v>
      </c>
      <c r="P107" s="94">
        <v>0</v>
      </c>
      <c r="Q107" s="94"/>
      <c r="R107" s="94">
        <f t="shared" ref="R107" si="54">SUM(P107:Q107)</f>
        <v>0</v>
      </c>
      <c r="S107" s="23"/>
      <c r="T107" s="8"/>
      <c r="U107" s="35"/>
    </row>
    <row r="108" spans="1:21" ht="40.5" customHeight="1" collapsed="1" x14ac:dyDescent="0.2">
      <c r="A108" s="41"/>
      <c r="B108" s="4"/>
      <c r="C108" s="5"/>
      <c r="D108" s="124" t="s">
        <v>343</v>
      </c>
      <c r="E108" s="122"/>
      <c r="F108" s="122"/>
      <c r="G108" s="122"/>
      <c r="H108" s="122"/>
      <c r="I108" s="48" t="s">
        <v>85</v>
      </c>
      <c r="J108" s="13" t="s">
        <v>84</v>
      </c>
      <c r="K108" s="13" t="s">
        <v>40</v>
      </c>
      <c r="L108" s="13" t="s">
        <v>4</v>
      </c>
      <c r="M108" s="61">
        <f>M109</f>
        <v>600</v>
      </c>
      <c r="N108" s="61">
        <f>N109</f>
        <v>-600</v>
      </c>
      <c r="O108" s="61">
        <f>SUM(M108:N108)</f>
        <v>0</v>
      </c>
      <c r="P108" s="93">
        <f>P109</f>
        <v>0</v>
      </c>
      <c r="Q108" s="93">
        <f>Q109</f>
        <v>1000</v>
      </c>
      <c r="R108" s="93">
        <f>SUM(P108:Q108)</f>
        <v>1000</v>
      </c>
      <c r="S108" s="22" t="s">
        <v>414</v>
      </c>
      <c r="T108" s="8"/>
      <c r="U108" s="35"/>
    </row>
    <row r="109" spans="1:21" ht="51" hidden="1" customHeight="1" outlineLevel="1" x14ac:dyDescent="0.2">
      <c r="A109" s="41"/>
      <c r="B109" s="4"/>
      <c r="C109" s="5"/>
      <c r="D109" s="24"/>
      <c r="E109" s="120" t="s">
        <v>240</v>
      </c>
      <c r="F109" s="116"/>
      <c r="G109" s="116"/>
      <c r="H109" s="116"/>
      <c r="I109" s="49" t="s">
        <v>85</v>
      </c>
      <c r="J109" s="14" t="s">
        <v>84</v>
      </c>
      <c r="K109" s="14" t="s">
        <v>40</v>
      </c>
      <c r="L109" s="14" t="s">
        <v>13</v>
      </c>
      <c r="M109" s="60">
        <v>600</v>
      </c>
      <c r="N109" s="60">
        <v>-600</v>
      </c>
      <c r="O109" s="60">
        <f>SUM(M109:N109)</f>
        <v>0</v>
      </c>
      <c r="P109" s="94">
        <v>0</v>
      </c>
      <c r="Q109" s="94">
        <f>1000</f>
        <v>1000</v>
      </c>
      <c r="R109" s="94">
        <f>SUM(P109:Q109)</f>
        <v>1000</v>
      </c>
      <c r="S109" s="23" t="s">
        <v>414</v>
      </c>
      <c r="T109" s="8"/>
      <c r="U109" s="35"/>
    </row>
    <row r="110" spans="1:21" ht="26.25" customHeight="1" collapsed="1" x14ac:dyDescent="0.2">
      <c r="A110" s="41"/>
      <c r="B110" s="4"/>
      <c r="C110" s="5"/>
      <c r="D110" s="124" t="s">
        <v>337</v>
      </c>
      <c r="E110" s="122"/>
      <c r="F110" s="122"/>
      <c r="G110" s="122"/>
      <c r="H110" s="122"/>
      <c r="I110" s="48" t="s">
        <v>82</v>
      </c>
      <c r="J110" s="13" t="s">
        <v>84</v>
      </c>
      <c r="K110" s="13" t="s">
        <v>83</v>
      </c>
      <c r="L110" s="13" t="s">
        <v>4</v>
      </c>
      <c r="M110" s="61">
        <f>M111</f>
        <v>0</v>
      </c>
      <c r="N110" s="61">
        <f t="shared" ref="N110:R110" si="55">N111</f>
        <v>0</v>
      </c>
      <c r="O110" s="61">
        <f t="shared" si="55"/>
        <v>0</v>
      </c>
      <c r="P110" s="93">
        <f>P111</f>
        <v>0</v>
      </c>
      <c r="Q110" s="93">
        <f t="shared" si="55"/>
        <v>0</v>
      </c>
      <c r="R110" s="93">
        <f t="shared" si="55"/>
        <v>0</v>
      </c>
      <c r="S110" s="22"/>
      <c r="T110" s="8"/>
      <c r="U110" s="35"/>
    </row>
    <row r="111" spans="1:21" ht="42.75" hidden="1" customHeight="1" outlineLevel="1" x14ac:dyDescent="0.2">
      <c r="A111" s="41"/>
      <c r="B111" s="4"/>
      <c r="C111" s="5"/>
      <c r="D111" s="24"/>
      <c r="E111" s="116" t="s">
        <v>336</v>
      </c>
      <c r="F111" s="116"/>
      <c r="G111" s="116"/>
      <c r="H111" s="116"/>
      <c r="I111" s="49" t="s">
        <v>82</v>
      </c>
      <c r="J111" s="14" t="s">
        <v>84</v>
      </c>
      <c r="K111" s="14" t="s">
        <v>83</v>
      </c>
      <c r="L111" s="14" t="s">
        <v>13</v>
      </c>
      <c r="M111" s="60">
        <v>0</v>
      </c>
      <c r="N111" s="60"/>
      <c r="O111" s="60">
        <f t="shared" si="49"/>
        <v>0</v>
      </c>
      <c r="P111" s="94">
        <v>0</v>
      </c>
      <c r="Q111" s="94"/>
      <c r="R111" s="94">
        <f t="shared" ref="R111" si="56">SUM(P111:Q111)</f>
        <v>0</v>
      </c>
      <c r="S111" s="23"/>
      <c r="T111" s="8"/>
      <c r="U111" s="35"/>
    </row>
    <row r="112" spans="1:21" ht="35.25" customHeight="1" collapsed="1" x14ac:dyDescent="0.2">
      <c r="A112" s="41"/>
      <c r="B112" s="8"/>
      <c r="C112" s="21"/>
      <c r="D112" s="117" t="s">
        <v>326</v>
      </c>
      <c r="E112" s="129"/>
      <c r="F112" s="129"/>
      <c r="G112" s="129"/>
      <c r="H112" s="130"/>
      <c r="I112" s="50" t="s">
        <v>81</v>
      </c>
      <c r="J112" s="18" t="s">
        <v>80</v>
      </c>
      <c r="K112" s="18" t="s">
        <v>4</v>
      </c>
      <c r="L112" s="18" t="s">
        <v>4</v>
      </c>
      <c r="M112" s="62">
        <f>M113</f>
        <v>441.2</v>
      </c>
      <c r="N112" s="62">
        <f>N113</f>
        <v>0</v>
      </c>
      <c r="O112" s="46">
        <f>SUM(M112:N112)</f>
        <v>441.2</v>
      </c>
      <c r="P112" s="96">
        <f>P113</f>
        <v>441.2</v>
      </c>
      <c r="Q112" s="96">
        <f>Q113</f>
        <v>0</v>
      </c>
      <c r="R112" s="98">
        <f>SUM(P112:Q112)</f>
        <v>441.2</v>
      </c>
      <c r="S112" s="31"/>
      <c r="T112" s="8"/>
      <c r="U112" s="35"/>
    </row>
    <row r="113" spans="1:21" ht="56.25" hidden="1" customHeight="1" outlineLevel="1" x14ac:dyDescent="0.2">
      <c r="A113" s="41"/>
      <c r="B113" s="4"/>
      <c r="C113" s="5"/>
      <c r="D113" s="24"/>
      <c r="E113" s="120" t="s">
        <v>295</v>
      </c>
      <c r="F113" s="116"/>
      <c r="G113" s="116"/>
      <c r="H113" s="116"/>
      <c r="I113" s="49" t="s">
        <v>81</v>
      </c>
      <c r="J113" s="14" t="s">
        <v>80</v>
      </c>
      <c r="K113" s="14" t="s">
        <v>2</v>
      </c>
      <c r="L113" s="14" t="s">
        <v>13</v>
      </c>
      <c r="M113" s="60">
        <v>441.2</v>
      </c>
      <c r="N113" s="60"/>
      <c r="O113" s="60">
        <f t="shared" si="49"/>
        <v>441.2</v>
      </c>
      <c r="P113" s="94">
        <v>441.2</v>
      </c>
      <c r="Q113" s="94"/>
      <c r="R113" s="94">
        <f t="shared" ref="R113" si="57">SUM(P113:Q113)</f>
        <v>441.2</v>
      </c>
      <c r="S113" s="23"/>
      <c r="T113" s="8"/>
      <c r="U113" s="35"/>
    </row>
    <row r="114" spans="1:21" ht="37.5" customHeight="1" collapsed="1" x14ac:dyDescent="0.2">
      <c r="A114" s="41"/>
      <c r="B114" s="8"/>
      <c r="C114" s="21"/>
      <c r="D114" s="117" t="s">
        <v>338</v>
      </c>
      <c r="E114" s="129"/>
      <c r="F114" s="129"/>
      <c r="G114" s="129"/>
      <c r="H114" s="130"/>
      <c r="I114" s="50" t="s">
        <v>78</v>
      </c>
      <c r="J114" s="18" t="s">
        <v>79</v>
      </c>
      <c r="K114" s="19" t="s">
        <v>4</v>
      </c>
      <c r="L114" s="19" t="s">
        <v>4</v>
      </c>
      <c r="M114" s="20">
        <f>SUM(M115:M116)</f>
        <v>1507</v>
      </c>
      <c r="N114" s="20">
        <f>SUM(N115:N116)</f>
        <v>0</v>
      </c>
      <c r="O114" s="46">
        <f>SUM(M114:N114)</f>
        <v>1507</v>
      </c>
      <c r="P114" s="99">
        <f>SUM(P115:P116)</f>
        <v>1507</v>
      </c>
      <c r="Q114" s="99">
        <f>SUM(Q115:Q116)</f>
        <v>0</v>
      </c>
      <c r="R114" s="98">
        <f>SUM(P114:Q114)</f>
        <v>1507</v>
      </c>
      <c r="S114" s="31"/>
      <c r="T114" s="8"/>
      <c r="U114" s="35"/>
    </row>
    <row r="115" spans="1:21" ht="45" hidden="1" customHeight="1" outlineLevel="1" x14ac:dyDescent="0.2">
      <c r="A115" s="41"/>
      <c r="B115" s="4"/>
      <c r="C115" s="5"/>
      <c r="D115" s="24"/>
      <c r="E115" s="120" t="s">
        <v>241</v>
      </c>
      <c r="F115" s="116"/>
      <c r="G115" s="116"/>
      <c r="H115" s="116"/>
      <c r="I115" s="49" t="s">
        <v>78</v>
      </c>
      <c r="J115" s="14" t="s">
        <v>79</v>
      </c>
      <c r="K115" s="14" t="s">
        <v>2</v>
      </c>
      <c r="L115" s="14" t="s">
        <v>13</v>
      </c>
      <c r="M115" s="60">
        <v>1407</v>
      </c>
      <c r="N115" s="60"/>
      <c r="O115" s="59">
        <f t="shared" si="49"/>
        <v>1407</v>
      </c>
      <c r="P115" s="94">
        <v>1407</v>
      </c>
      <c r="Q115" s="94">
        <v>-305.5</v>
      </c>
      <c r="R115" s="97">
        <f t="shared" ref="R115:R116" si="58">SUM(P115:Q115)</f>
        <v>1101.5</v>
      </c>
      <c r="S115" s="74" t="s">
        <v>399</v>
      </c>
      <c r="T115" s="8"/>
      <c r="U115" s="35"/>
    </row>
    <row r="116" spans="1:21" ht="46.5" hidden="1" customHeight="1" outlineLevel="1" x14ac:dyDescent="0.2">
      <c r="A116" s="41"/>
      <c r="B116" s="4"/>
      <c r="C116" s="5"/>
      <c r="D116" s="24"/>
      <c r="E116" s="116" t="s">
        <v>350</v>
      </c>
      <c r="F116" s="116"/>
      <c r="G116" s="116"/>
      <c r="H116" s="116"/>
      <c r="I116" s="49">
        <v>1600200000</v>
      </c>
      <c r="J116" s="14">
        <v>16</v>
      </c>
      <c r="K116" s="14">
        <v>0</v>
      </c>
      <c r="L116" s="37" t="s">
        <v>11</v>
      </c>
      <c r="M116" s="60">
        <v>100</v>
      </c>
      <c r="N116" s="60"/>
      <c r="O116" s="59">
        <f t="shared" si="49"/>
        <v>100</v>
      </c>
      <c r="P116" s="94">
        <v>100</v>
      </c>
      <c r="Q116" s="94">
        <v>305.5</v>
      </c>
      <c r="R116" s="97">
        <f t="shared" si="58"/>
        <v>405.5</v>
      </c>
      <c r="S116" s="74" t="s">
        <v>400</v>
      </c>
      <c r="T116" s="8"/>
      <c r="U116" s="35"/>
    </row>
    <row r="117" spans="1:21" ht="51" customHeight="1" collapsed="1" x14ac:dyDescent="0.2">
      <c r="A117" s="41"/>
      <c r="B117" s="8"/>
      <c r="C117" s="21"/>
      <c r="D117" s="117" t="s">
        <v>344</v>
      </c>
      <c r="E117" s="129"/>
      <c r="F117" s="129"/>
      <c r="G117" s="129"/>
      <c r="H117" s="130"/>
      <c r="I117" s="50" t="s">
        <v>77</v>
      </c>
      <c r="J117" s="18" t="s">
        <v>71</v>
      </c>
      <c r="K117" s="18" t="s">
        <v>4</v>
      </c>
      <c r="L117" s="18" t="s">
        <v>4</v>
      </c>
      <c r="M117" s="62">
        <f>M118+M123</f>
        <v>3457.9</v>
      </c>
      <c r="N117" s="62">
        <f>N118+N123</f>
        <v>3000</v>
      </c>
      <c r="O117" s="46">
        <f>SUM(M117:N117)</f>
        <v>6457.9</v>
      </c>
      <c r="P117" s="96">
        <f>P118+P123</f>
        <v>6457.9</v>
      </c>
      <c r="Q117" s="96">
        <f>Q118+Q123</f>
        <v>-5.6621374255882984E-15</v>
      </c>
      <c r="R117" s="98">
        <f>SUM(P117:Q117)</f>
        <v>6457.9</v>
      </c>
      <c r="S117" s="30"/>
      <c r="T117" s="8"/>
      <c r="U117" s="35"/>
    </row>
    <row r="118" spans="1:21" ht="49.5" customHeight="1" x14ac:dyDescent="0.2">
      <c r="A118" s="41"/>
      <c r="B118" s="4"/>
      <c r="C118" s="5"/>
      <c r="D118" s="123" t="s">
        <v>242</v>
      </c>
      <c r="E118" s="122"/>
      <c r="F118" s="122"/>
      <c r="G118" s="122"/>
      <c r="H118" s="122"/>
      <c r="I118" s="48" t="s">
        <v>76</v>
      </c>
      <c r="J118" s="13" t="s">
        <v>71</v>
      </c>
      <c r="K118" s="13" t="s">
        <v>23</v>
      </c>
      <c r="L118" s="13" t="s">
        <v>4</v>
      </c>
      <c r="M118" s="61">
        <f>M119+M120+M121+M122</f>
        <v>3147.9</v>
      </c>
      <c r="N118" s="61">
        <f>N119+N120+N121+N122</f>
        <v>3000</v>
      </c>
      <c r="O118" s="61">
        <f>SUM(M118:N118)</f>
        <v>6147.9</v>
      </c>
      <c r="P118" s="93">
        <f>P119+P120+P121+P122</f>
        <v>6147.9</v>
      </c>
      <c r="Q118" s="93">
        <f>Q119+Q120+Q121+Q122</f>
        <v>0.4</v>
      </c>
      <c r="R118" s="93">
        <f>SUM(P118:Q118)</f>
        <v>6148.2999999999993</v>
      </c>
      <c r="S118" s="22" t="s">
        <v>401</v>
      </c>
      <c r="T118" s="8"/>
      <c r="U118" s="35"/>
    </row>
    <row r="119" spans="1:21" ht="45.75" hidden="1" customHeight="1" outlineLevel="1" x14ac:dyDescent="0.2">
      <c r="A119" s="41"/>
      <c r="B119" s="4"/>
      <c r="C119" s="5"/>
      <c r="D119" s="24"/>
      <c r="E119" s="120" t="s">
        <v>243</v>
      </c>
      <c r="F119" s="116"/>
      <c r="G119" s="116"/>
      <c r="H119" s="116"/>
      <c r="I119" s="49" t="s">
        <v>75</v>
      </c>
      <c r="J119" s="14" t="s">
        <v>71</v>
      </c>
      <c r="K119" s="14" t="s">
        <v>23</v>
      </c>
      <c r="L119" s="14" t="s">
        <v>13</v>
      </c>
      <c r="M119" s="60">
        <v>127.9</v>
      </c>
      <c r="N119" s="60"/>
      <c r="O119" s="60">
        <f t="shared" ref="O119:O124" si="59">SUM(M119:N119)</f>
        <v>127.9</v>
      </c>
      <c r="P119" s="94">
        <v>127.9</v>
      </c>
      <c r="Q119" s="94">
        <v>0.4</v>
      </c>
      <c r="R119" s="94">
        <f t="shared" ref="R119:R122" si="60">SUM(P119:Q119)</f>
        <v>128.30000000000001</v>
      </c>
      <c r="S119" s="23" t="s">
        <v>401</v>
      </c>
      <c r="T119" s="8"/>
      <c r="U119" s="35"/>
    </row>
    <row r="120" spans="1:21" ht="49.5" hidden="1" customHeight="1" outlineLevel="1" x14ac:dyDescent="0.2">
      <c r="A120" s="41"/>
      <c r="B120" s="4"/>
      <c r="C120" s="5"/>
      <c r="D120" s="24"/>
      <c r="E120" s="120" t="s">
        <v>244</v>
      </c>
      <c r="F120" s="116"/>
      <c r="G120" s="116"/>
      <c r="H120" s="116"/>
      <c r="I120" s="49" t="s">
        <v>74</v>
      </c>
      <c r="J120" s="14" t="s">
        <v>71</v>
      </c>
      <c r="K120" s="14" t="s">
        <v>23</v>
      </c>
      <c r="L120" s="14" t="s">
        <v>11</v>
      </c>
      <c r="M120" s="60">
        <v>0</v>
      </c>
      <c r="N120" s="60"/>
      <c r="O120" s="60">
        <f t="shared" si="59"/>
        <v>0</v>
      </c>
      <c r="P120" s="94">
        <v>0</v>
      </c>
      <c r="Q120" s="94"/>
      <c r="R120" s="94">
        <f t="shared" si="60"/>
        <v>0</v>
      </c>
      <c r="S120" s="23"/>
      <c r="T120" s="8"/>
      <c r="U120" s="35"/>
    </row>
    <row r="121" spans="1:21" ht="62.25" hidden="1" customHeight="1" outlineLevel="1" x14ac:dyDescent="0.2">
      <c r="A121" s="41"/>
      <c r="B121" s="4"/>
      <c r="C121" s="5"/>
      <c r="D121" s="24"/>
      <c r="E121" s="120" t="s">
        <v>245</v>
      </c>
      <c r="F121" s="116"/>
      <c r="G121" s="116"/>
      <c r="H121" s="116"/>
      <c r="I121" s="49" t="s">
        <v>73</v>
      </c>
      <c r="J121" s="14" t="s">
        <v>71</v>
      </c>
      <c r="K121" s="14" t="s">
        <v>23</v>
      </c>
      <c r="L121" s="14" t="s">
        <v>26</v>
      </c>
      <c r="M121" s="60">
        <v>3000</v>
      </c>
      <c r="N121" s="60">
        <v>3000</v>
      </c>
      <c r="O121" s="60">
        <f t="shared" si="59"/>
        <v>6000</v>
      </c>
      <c r="P121" s="94">
        <v>6000</v>
      </c>
      <c r="Q121" s="94"/>
      <c r="R121" s="94">
        <f t="shared" si="60"/>
        <v>6000</v>
      </c>
      <c r="S121" s="23"/>
      <c r="T121" s="8"/>
      <c r="U121" s="35"/>
    </row>
    <row r="122" spans="1:21" ht="24.75" hidden="1" customHeight="1" outlineLevel="1" x14ac:dyDescent="0.2">
      <c r="A122" s="41"/>
      <c r="B122" s="4"/>
      <c r="C122" s="5"/>
      <c r="D122" s="24"/>
      <c r="E122" s="120" t="s">
        <v>246</v>
      </c>
      <c r="F122" s="116"/>
      <c r="G122" s="116"/>
      <c r="H122" s="116"/>
      <c r="I122" s="49" t="s">
        <v>72</v>
      </c>
      <c r="J122" s="14" t="s">
        <v>71</v>
      </c>
      <c r="K122" s="14" t="s">
        <v>23</v>
      </c>
      <c r="L122" s="14" t="s">
        <v>10</v>
      </c>
      <c r="M122" s="60">
        <v>20</v>
      </c>
      <c r="N122" s="60"/>
      <c r="O122" s="60">
        <f t="shared" si="59"/>
        <v>20</v>
      </c>
      <c r="P122" s="94">
        <v>20</v>
      </c>
      <c r="Q122" s="94"/>
      <c r="R122" s="94">
        <f t="shared" si="60"/>
        <v>20</v>
      </c>
      <c r="S122" s="23"/>
      <c r="T122" s="8"/>
      <c r="U122" s="35"/>
    </row>
    <row r="123" spans="1:21" ht="42.75" customHeight="1" collapsed="1" x14ac:dyDescent="0.2">
      <c r="A123" s="41"/>
      <c r="B123" s="4"/>
      <c r="C123" s="5"/>
      <c r="D123" s="123" t="s">
        <v>247</v>
      </c>
      <c r="E123" s="122"/>
      <c r="F123" s="122"/>
      <c r="G123" s="122"/>
      <c r="H123" s="122"/>
      <c r="I123" s="48" t="s">
        <v>70</v>
      </c>
      <c r="J123" s="13" t="s">
        <v>71</v>
      </c>
      <c r="K123" s="13" t="s">
        <v>18</v>
      </c>
      <c r="L123" s="13" t="s">
        <v>4</v>
      </c>
      <c r="M123" s="61">
        <f>M124</f>
        <v>310</v>
      </c>
      <c r="N123" s="61">
        <f t="shared" ref="N123:O123" si="61">N124</f>
        <v>0</v>
      </c>
      <c r="O123" s="61">
        <f t="shared" si="61"/>
        <v>310</v>
      </c>
      <c r="P123" s="93">
        <f>P124+P125+P126</f>
        <v>310</v>
      </c>
      <c r="Q123" s="93">
        <f t="shared" ref="Q123:R123" si="62">Q124+Q125+Q126</f>
        <v>-0.40000000000000568</v>
      </c>
      <c r="R123" s="93">
        <f t="shared" si="62"/>
        <v>309.60000000000002</v>
      </c>
      <c r="S123" s="22" t="s">
        <v>405</v>
      </c>
      <c r="T123" s="8"/>
      <c r="U123" s="35"/>
    </row>
    <row r="124" spans="1:21" ht="86.25" hidden="1" customHeight="1" outlineLevel="1" x14ac:dyDescent="0.2">
      <c r="A124" s="41"/>
      <c r="B124" s="4"/>
      <c r="C124" s="5"/>
      <c r="D124" s="24"/>
      <c r="E124" s="120" t="s">
        <v>248</v>
      </c>
      <c r="F124" s="116"/>
      <c r="G124" s="116"/>
      <c r="H124" s="116"/>
      <c r="I124" s="49" t="s">
        <v>70</v>
      </c>
      <c r="J124" s="14" t="s">
        <v>71</v>
      </c>
      <c r="K124" s="14" t="s">
        <v>18</v>
      </c>
      <c r="L124" s="14" t="s">
        <v>13</v>
      </c>
      <c r="M124" s="60">
        <v>310</v>
      </c>
      <c r="N124" s="60"/>
      <c r="O124" s="60">
        <f t="shared" si="59"/>
        <v>310</v>
      </c>
      <c r="P124" s="94">
        <v>310</v>
      </c>
      <c r="Q124" s="94">
        <f>-0.4-259.6</f>
        <v>-260</v>
      </c>
      <c r="R124" s="94">
        <f t="shared" ref="R124:R126" si="63">SUM(P124:Q124)</f>
        <v>50</v>
      </c>
      <c r="S124" s="23" t="s">
        <v>402</v>
      </c>
      <c r="T124" s="8"/>
      <c r="U124" s="35"/>
    </row>
    <row r="125" spans="1:21" ht="32.25" hidden="1" customHeight="1" outlineLevel="1" x14ac:dyDescent="0.2">
      <c r="A125" s="41"/>
      <c r="B125" s="8"/>
      <c r="C125" s="33"/>
      <c r="D125" s="24"/>
      <c r="E125" s="162" t="s">
        <v>372</v>
      </c>
      <c r="F125" s="162"/>
      <c r="G125" s="162"/>
      <c r="H125" s="163"/>
      <c r="I125" s="49"/>
      <c r="J125" s="14">
        <v>17</v>
      </c>
      <c r="K125" s="14">
        <v>2</v>
      </c>
      <c r="L125" s="37" t="s">
        <v>11</v>
      </c>
      <c r="M125" s="60"/>
      <c r="N125" s="60"/>
      <c r="O125" s="60"/>
      <c r="P125" s="94">
        <v>0</v>
      </c>
      <c r="Q125" s="94">
        <v>159.6</v>
      </c>
      <c r="R125" s="94">
        <f t="shared" si="63"/>
        <v>159.6</v>
      </c>
      <c r="S125" s="91" t="s">
        <v>404</v>
      </c>
      <c r="T125" s="8"/>
      <c r="U125" s="35"/>
    </row>
    <row r="126" spans="1:21" ht="32.25" hidden="1" customHeight="1" outlineLevel="1" x14ac:dyDescent="0.2">
      <c r="A126" s="41"/>
      <c r="B126" s="8"/>
      <c r="C126" s="33"/>
      <c r="D126" s="24"/>
      <c r="E126" s="162" t="s">
        <v>373</v>
      </c>
      <c r="F126" s="162"/>
      <c r="G126" s="162"/>
      <c r="H126" s="163"/>
      <c r="I126" s="49"/>
      <c r="J126" s="14">
        <v>17</v>
      </c>
      <c r="K126" s="14">
        <v>2</v>
      </c>
      <c r="L126" s="37" t="s">
        <v>10</v>
      </c>
      <c r="M126" s="60"/>
      <c r="N126" s="60"/>
      <c r="O126" s="60"/>
      <c r="P126" s="94">
        <v>0</v>
      </c>
      <c r="Q126" s="94">
        <v>100</v>
      </c>
      <c r="R126" s="94">
        <f t="shared" si="63"/>
        <v>100</v>
      </c>
      <c r="S126" s="91" t="s">
        <v>403</v>
      </c>
      <c r="T126" s="8"/>
      <c r="U126" s="35"/>
    </row>
    <row r="127" spans="1:21" ht="35.25" customHeight="1" collapsed="1" x14ac:dyDescent="0.2">
      <c r="A127" s="41"/>
      <c r="B127" s="8"/>
      <c r="C127" s="21"/>
      <c r="D127" s="117" t="s">
        <v>308</v>
      </c>
      <c r="E127" s="129"/>
      <c r="F127" s="129"/>
      <c r="G127" s="129"/>
      <c r="H127" s="130"/>
      <c r="I127" s="50" t="s">
        <v>69</v>
      </c>
      <c r="J127" s="18" t="s">
        <v>60</v>
      </c>
      <c r="K127" s="18" t="s">
        <v>4</v>
      </c>
      <c r="L127" s="18" t="s">
        <v>4</v>
      </c>
      <c r="M127" s="62">
        <f>M128+M133+M135</f>
        <v>466.8</v>
      </c>
      <c r="N127" s="62">
        <f>N128+N133+N135</f>
        <v>793.8</v>
      </c>
      <c r="O127" s="46">
        <f>SUM(M127:N127)</f>
        <v>1260.5999999999999</v>
      </c>
      <c r="P127" s="96">
        <f>P128+P133+P135</f>
        <v>1260.5999999999999</v>
      </c>
      <c r="Q127" s="96">
        <f>Q128+Q133+Q135</f>
        <v>0</v>
      </c>
      <c r="R127" s="98">
        <f>SUM(P127:Q127)</f>
        <v>1260.5999999999999</v>
      </c>
      <c r="S127" s="30"/>
      <c r="T127" s="8"/>
      <c r="U127" s="35"/>
    </row>
    <row r="128" spans="1:21" ht="63" customHeight="1" x14ac:dyDescent="0.2">
      <c r="A128" s="41"/>
      <c r="B128" s="4"/>
      <c r="C128" s="5"/>
      <c r="D128" s="123" t="s">
        <v>249</v>
      </c>
      <c r="E128" s="122"/>
      <c r="F128" s="122"/>
      <c r="G128" s="122"/>
      <c r="H128" s="122"/>
      <c r="I128" s="48" t="s">
        <v>68</v>
      </c>
      <c r="J128" s="13" t="s">
        <v>60</v>
      </c>
      <c r="K128" s="13" t="s">
        <v>23</v>
      </c>
      <c r="L128" s="13" t="s">
        <v>4</v>
      </c>
      <c r="M128" s="61">
        <f>M129+M130+M131+M132</f>
        <v>246.8</v>
      </c>
      <c r="N128" s="61">
        <f>N129+N130+N131+N132</f>
        <v>0</v>
      </c>
      <c r="O128" s="61">
        <f>SUM(M128:N128)</f>
        <v>246.8</v>
      </c>
      <c r="P128" s="93">
        <f>P129+P130+P131+P132</f>
        <v>246.8</v>
      </c>
      <c r="Q128" s="93">
        <f>Q129+Q130+Q131+Q132</f>
        <v>0</v>
      </c>
      <c r="R128" s="93">
        <f>SUM(P128:Q128)</f>
        <v>246.8</v>
      </c>
      <c r="S128" s="22"/>
      <c r="T128" s="8"/>
      <c r="U128" s="35"/>
    </row>
    <row r="129" spans="1:22" ht="30" hidden="1" customHeight="1" outlineLevel="1" x14ac:dyDescent="0.2">
      <c r="A129" s="41"/>
      <c r="B129" s="4"/>
      <c r="C129" s="5"/>
      <c r="D129" s="24"/>
      <c r="E129" s="120" t="s">
        <v>250</v>
      </c>
      <c r="F129" s="116"/>
      <c r="G129" s="116"/>
      <c r="H129" s="116"/>
      <c r="I129" s="49" t="s">
        <v>67</v>
      </c>
      <c r="J129" s="14" t="s">
        <v>60</v>
      </c>
      <c r="K129" s="14" t="s">
        <v>23</v>
      </c>
      <c r="L129" s="14" t="s">
        <v>13</v>
      </c>
      <c r="M129" s="60">
        <v>50</v>
      </c>
      <c r="N129" s="60"/>
      <c r="O129" s="60">
        <f t="shared" ref="O129:O137" si="64">SUM(M129:N129)</f>
        <v>50</v>
      </c>
      <c r="P129" s="94">
        <v>50</v>
      </c>
      <c r="Q129" s="94"/>
      <c r="R129" s="94">
        <f t="shared" ref="R129:R132" si="65">SUM(P129:Q129)</f>
        <v>50</v>
      </c>
      <c r="S129" s="23"/>
      <c r="T129" s="8"/>
      <c r="U129" s="35"/>
    </row>
    <row r="130" spans="1:22" ht="45" hidden="1" customHeight="1" outlineLevel="1" x14ac:dyDescent="0.2">
      <c r="A130" s="41"/>
      <c r="B130" s="4"/>
      <c r="C130" s="5"/>
      <c r="D130" s="24"/>
      <c r="E130" s="120" t="s">
        <v>251</v>
      </c>
      <c r="F130" s="116"/>
      <c r="G130" s="116"/>
      <c r="H130" s="116"/>
      <c r="I130" s="49" t="s">
        <v>66</v>
      </c>
      <c r="J130" s="14" t="s">
        <v>60</v>
      </c>
      <c r="K130" s="14" t="s">
        <v>23</v>
      </c>
      <c r="L130" s="14" t="s">
        <v>11</v>
      </c>
      <c r="M130" s="60">
        <v>30</v>
      </c>
      <c r="N130" s="60"/>
      <c r="O130" s="60">
        <f t="shared" si="64"/>
        <v>30</v>
      </c>
      <c r="P130" s="94">
        <v>30</v>
      </c>
      <c r="Q130" s="94"/>
      <c r="R130" s="94">
        <f t="shared" si="65"/>
        <v>30</v>
      </c>
      <c r="S130" s="23"/>
      <c r="T130" s="8"/>
      <c r="U130" s="35"/>
    </row>
    <row r="131" spans="1:22" ht="48.75" hidden="1" customHeight="1" outlineLevel="1" x14ac:dyDescent="0.2">
      <c r="A131" s="41"/>
      <c r="B131" s="4"/>
      <c r="C131" s="5"/>
      <c r="D131" s="24"/>
      <c r="E131" s="120" t="s">
        <v>252</v>
      </c>
      <c r="F131" s="116"/>
      <c r="G131" s="116"/>
      <c r="H131" s="116"/>
      <c r="I131" s="49" t="s">
        <v>65</v>
      </c>
      <c r="J131" s="14" t="s">
        <v>60</v>
      </c>
      <c r="K131" s="14" t="s">
        <v>23</v>
      </c>
      <c r="L131" s="14" t="s">
        <v>26</v>
      </c>
      <c r="M131" s="60">
        <v>0</v>
      </c>
      <c r="N131" s="60"/>
      <c r="O131" s="60">
        <f t="shared" si="64"/>
        <v>0</v>
      </c>
      <c r="P131" s="94">
        <v>0</v>
      </c>
      <c r="Q131" s="94"/>
      <c r="R131" s="94">
        <f t="shared" si="65"/>
        <v>0</v>
      </c>
      <c r="S131" s="23"/>
      <c r="T131" s="8"/>
      <c r="U131" s="35"/>
    </row>
    <row r="132" spans="1:22" ht="46.5" hidden="1" customHeight="1" outlineLevel="1" x14ac:dyDescent="0.2">
      <c r="A132" s="41"/>
      <c r="B132" s="4"/>
      <c r="C132" s="5"/>
      <c r="D132" s="24"/>
      <c r="E132" s="120" t="s">
        <v>253</v>
      </c>
      <c r="F132" s="116"/>
      <c r="G132" s="116"/>
      <c r="H132" s="116"/>
      <c r="I132" s="49" t="s">
        <v>64</v>
      </c>
      <c r="J132" s="14" t="s">
        <v>60</v>
      </c>
      <c r="K132" s="14" t="s">
        <v>23</v>
      </c>
      <c r="L132" s="14" t="s">
        <v>7</v>
      </c>
      <c r="M132" s="60">
        <v>166.8</v>
      </c>
      <c r="N132" s="60"/>
      <c r="O132" s="60">
        <f t="shared" si="64"/>
        <v>166.8</v>
      </c>
      <c r="P132" s="94">
        <v>166.8</v>
      </c>
      <c r="Q132" s="94"/>
      <c r="R132" s="94">
        <f t="shared" si="65"/>
        <v>166.8</v>
      </c>
      <c r="S132" s="23"/>
      <c r="T132" s="8"/>
      <c r="U132" s="35"/>
    </row>
    <row r="133" spans="1:22" ht="33.75" customHeight="1" collapsed="1" x14ac:dyDescent="0.2">
      <c r="A133" s="41"/>
      <c r="B133" s="4"/>
      <c r="C133" s="5"/>
      <c r="D133" s="123" t="s">
        <v>254</v>
      </c>
      <c r="E133" s="122"/>
      <c r="F133" s="122"/>
      <c r="G133" s="122"/>
      <c r="H133" s="122"/>
      <c r="I133" s="48" t="s">
        <v>63</v>
      </c>
      <c r="J133" s="13" t="s">
        <v>60</v>
      </c>
      <c r="K133" s="13" t="s">
        <v>18</v>
      </c>
      <c r="L133" s="13" t="s">
        <v>4</v>
      </c>
      <c r="M133" s="61">
        <f>M134</f>
        <v>100</v>
      </c>
      <c r="N133" s="61">
        <f>N134</f>
        <v>0</v>
      </c>
      <c r="O133" s="61">
        <f>SUM(M133:N133)</f>
        <v>100</v>
      </c>
      <c r="P133" s="93">
        <f>P134</f>
        <v>100</v>
      </c>
      <c r="Q133" s="93">
        <f>Q134</f>
        <v>0</v>
      </c>
      <c r="R133" s="93">
        <f>SUM(P133:Q133)</f>
        <v>100</v>
      </c>
      <c r="S133" s="22"/>
      <c r="T133" s="8"/>
      <c r="U133" s="35"/>
    </row>
    <row r="134" spans="1:22" ht="30" hidden="1" customHeight="1" outlineLevel="1" x14ac:dyDescent="0.2">
      <c r="A134" s="41"/>
      <c r="B134" s="4"/>
      <c r="C134" s="5"/>
      <c r="D134" s="24"/>
      <c r="E134" s="120" t="s">
        <v>255</v>
      </c>
      <c r="F134" s="116"/>
      <c r="G134" s="116"/>
      <c r="H134" s="116"/>
      <c r="I134" s="49" t="s">
        <v>63</v>
      </c>
      <c r="J134" s="14" t="s">
        <v>60</v>
      </c>
      <c r="K134" s="14" t="s">
        <v>18</v>
      </c>
      <c r="L134" s="14" t="s">
        <v>13</v>
      </c>
      <c r="M134" s="60">
        <v>100</v>
      </c>
      <c r="N134" s="60"/>
      <c r="O134" s="60">
        <f t="shared" si="64"/>
        <v>100</v>
      </c>
      <c r="P134" s="94">
        <v>100</v>
      </c>
      <c r="Q134" s="94"/>
      <c r="R134" s="94">
        <f t="shared" ref="R134" si="66">SUM(P134:Q134)</f>
        <v>100</v>
      </c>
      <c r="S134" s="23"/>
      <c r="T134" s="8"/>
      <c r="U134" s="35"/>
    </row>
    <row r="135" spans="1:22" ht="38.25" customHeight="1" collapsed="1" x14ac:dyDescent="0.2">
      <c r="A135" s="41"/>
      <c r="B135" s="4"/>
      <c r="C135" s="5"/>
      <c r="D135" s="123" t="s">
        <v>256</v>
      </c>
      <c r="E135" s="122"/>
      <c r="F135" s="122"/>
      <c r="G135" s="122"/>
      <c r="H135" s="122"/>
      <c r="I135" s="48" t="s">
        <v>62</v>
      </c>
      <c r="J135" s="13" t="s">
        <v>60</v>
      </c>
      <c r="K135" s="13" t="s">
        <v>27</v>
      </c>
      <c r="L135" s="13" t="s">
        <v>4</v>
      </c>
      <c r="M135" s="61">
        <f>M136+M137</f>
        <v>120</v>
      </c>
      <c r="N135" s="61">
        <f>N136+N137</f>
        <v>793.8</v>
      </c>
      <c r="O135" s="61">
        <f>SUM(M135:N135)</f>
        <v>913.8</v>
      </c>
      <c r="P135" s="93">
        <f>P136+P137</f>
        <v>913.8</v>
      </c>
      <c r="Q135" s="93">
        <f>Q136+Q137</f>
        <v>0</v>
      </c>
      <c r="R135" s="93">
        <f>SUM(P135:Q135)</f>
        <v>913.8</v>
      </c>
      <c r="S135" s="22"/>
      <c r="T135" s="8"/>
      <c r="U135" s="35"/>
    </row>
    <row r="136" spans="1:22" ht="21" hidden="1" customHeight="1" outlineLevel="1" x14ac:dyDescent="0.2">
      <c r="A136" s="41"/>
      <c r="B136" s="4"/>
      <c r="C136" s="5"/>
      <c r="D136" s="24"/>
      <c r="E136" s="120" t="s">
        <v>257</v>
      </c>
      <c r="F136" s="116"/>
      <c r="G136" s="116"/>
      <c r="H136" s="116"/>
      <c r="I136" s="49" t="s">
        <v>61</v>
      </c>
      <c r="J136" s="14" t="s">
        <v>60</v>
      </c>
      <c r="K136" s="14" t="s">
        <v>27</v>
      </c>
      <c r="L136" s="14" t="s">
        <v>13</v>
      </c>
      <c r="M136" s="60">
        <v>20</v>
      </c>
      <c r="N136" s="60"/>
      <c r="O136" s="60">
        <f t="shared" si="64"/>
        <v>20</v>
      </c>
      <c r="P136" s="94">
        <v>20</v>
      </c>
      <c r="Q136" s="94"/>
      <c r="R136" s="94">
        <f t="shared" ref="R136:R137" si="67">SUM(P136:Q136)</f>
        <v>20</v>
      </c>
      <c r="S136" s="23"/>
      <c r="T136" s="8"/>
      <c r="U136" s="35"/>
    </row>
    <row r="137" spans="1:22" ht="53.25" hidden="1" customHeight="1" outlineLevel="1" x14ac:dyDescent="0.2">
      <c r="A137" s="41"/>
      <c r="B137" s="4"/>
      <c r="C137" s="5"/>
      <c r="D137" s="24"/>
      <c r="E137" s="116" t="s">
        <v>357</v>
      </c>
      <c r="F137" s="116"/>
      <c r="G137" s="116"/>
      <c r="H137" s="116"/>
      <c r="I137" s="49" t="s">
        <v>59</v>
      </c>
      <c r="J137" s="14" t="s">
        <v>60</v>
      </c>
      <c r="K137" s="14" t="s">
        <v>27</v>
      </c>
      <c r="L137" s="14" t="s">
        <v>11</v>
      </c>
      <c r="M137" s="60">
        <v>100</v>
      </c>
      <c r="N137" s="60">
        <f>793.8</f>
        <v>793.8</v>
      </c>
      <c r="O137" s="60">
        <f t="shared" si="64"/>
        <v>893.8</v>
      </c>
      <c r="P137" s="94">
        <v>893.8</v>
      </c>
      <c r="Q137" s="94"/>
      <c r="R137" s="94">
        <f t="shared" si="67"/>
        <v>893.8</v>
      </c>
      <c r="S137" s="23"/>
      <c r="T137" s="8"/>
      <c r="U137" s="35"/>
    </row>
    <row r="138" spans="1:22" ht="33.75" customHeight="1" collapsed="1" x14ac:dyDescent="0.2">
      <c r="A138" s="41"/>
      <c r="B138" s="8"/>
      <c r="C138" s="21"/>
      <c r="D138" s="117" t="s">
        <v>309</v>
      </c>
      <c r="E138" s="129"/>
      <c r="F138" s="129"/>
      <c r="G138" s="129"/>
      <c r="H138" s="130"/>
      <c r="I138" s="50" t="s">
        <v>58</v>
      </c>
      <c r="J138" s="18" t="s">
        <v>41</v>
      </c>
      <c r="K138" s="19" t="s">
        <v>4</v>
      </c>
      <c r="L138" s="19" t="s">
        <v>4</v>
      </c>
      <c r="M138" s="20">
        <f>M139+M148+M154+M158</f>
        <v>2442018.0999999996</v>
      </c>
      <c r="N138" s="20">
        <f>N139+N148+N154+N158</f>
        <v>75689.7</v>
      </c>
      <c r="O138" s="46">
        <f>SUM(M138:N138)</f>
        <v>2517707.7999999998</v>
      </c>
      <c r="P138" s="99">
        <f>P139+P148+P154+P158</f>
        <v>2517707.8000000003</v>
      </c>
      <c r="Q138" s="99">
        <f>Q139+Q148+Q154+Q158</f>
        <v>14673.300000000001</v>
      </c>
      <c r="R138" s="98">
        <f>SUM(P138:Q138)</f>
        <v>2532381.1</v>
      </c>
      <c r="S138" s="30"/>
      <c r="T138" s="8"/>
      <c r="U138" s="35"/>
    </row>
    <row r="139" spans="1:22" ht="43.5" customHeight="1" x14ac:dyDescent="0.2">
      <c r="A139" s="41"/>
      <c r="B139" s="4"/>
      <c r="C139" s="5"/>
      <c r="D139" s="156" t="s">
        <v>349</v>
      </c>
      <c r="E139" s="157"/>
      <c r="F139" s="157"/>
      <c r="G139" s="157"/>
      <c r="H139" s="158"/>
      <c r="I139" s="145" t="s">
        <v>57</v>
      </c>
      <c r="J139" s="187">
        <v>20</v>
      </c>
      <c r="K139" s="187" t="s">
        <v>23</v>
      </c>
      <c r="L139" s="189" t="s">
        <v>4</v>
      </c>
      <c r="M139" s="114">
        <f>M141+M142+M143+M144+M145+M146+M147</f>
        <v>2337354.5999999996</v>
      </c>
      <c r="N139" s="114">
        <f>N141+N142+N143+N144+N145+N146+N147</f>
        <v>59926.6</v>
      </c>
      <c r="O139" s="114">
        <f>SUM(M139:N139)</f>
        <v>2397281.1999999997</v>
      </c>
      <c r="P139" s="184">
        <f>P141+P142+P143+P144+P145+P146+P147</f>
        <v>2397281.2000000002</v>
      </c>
      <c r="Q139" s="184">
        <f>Q141+Q142+Q143+Q144+Q145+Q146+Q147</f>
        <v>5069.7000000000007</v>
      </c>
      <c r="R139" s="184">
        <f>SUM(P139:Q139)</f>
        <v>2402350.9000000004</v>
      </c>
      <c r="S139" s="131" t="s">
        <v>435</v>
      </c>
      <c r="T139" s="8"/>
      <c r="U139" s="35"/>
    </row>
    <row r="140" spans="1:22" ht="47.25" customHeight="1" x14ac:dyDescent="0.2">
      <c r="A140" s="41"/>
      <c r="B140" s="4"/>
      <c r="C140" s="5"/>
      <c r="D140" s="159"/>
      <c r="E140" s="160"/>
      <c r="F140" s="160"/>
      <c r="G140" s="160"/>
      <c r="H140" s="161"/>
      <c r="I140" s="146"/>
      <c r="J140" s="188"/>
      <c r="K140" s="188"/>
      <c r="L140" s="190"/>
      <c r="M140" s="115"/>
      <c r="N140" s="115"/>
      <c r="O140" s="115"/>
      <c r="P140" s="185"/>
      <c r="Q140" s="185"/>
      <c r="R140" s="185"/>
      <c r="S140" s="132"/>
      <c r="T140" s="8"/>
      <c r="U140" s="35"/>
      <c r="V140" s="53"/>
    </row>
    <row r="141" spans="1:22" ht="59.25" hidden="1" customHeight="1" outlineLevel="1" x14ac:dyDescent="0.2">
      <c r="A141" s="41"/>
      <c r="B141" s="4"/>
      <c r="C141" s="5"/>
      <c r="D141" s="24"/>
      <c r="E141" s="120" t="s">
        <v>258</v>
      </c>
      <c r="F141" s="116"/>
      <c r="G141" s="116"/>
      <c r="H141" s="116"/>
      <c r="I141" s="49" t="s">
        <v>56</v>
      </c>
      <c r="J141" s="14" t="s">
        <v>41</v>
      </c>
      <c r="K141" s="14" t="s">
        <v>23</v>
      </c>
      <c r="L141" s="14" t="s">
        <v>13</v>
      </c>
      <c r="M141" s="60">
        <v>31080.1</v>
      </c>
      <c r="N141" s="60">
        <v>84.1</v>
      </c>
      <c r="O141" s="60">
        <f t="shared" ref="O141:O161" si="68">SUM(M141:N141)</f>
        <v>31164.199999999997</v>
      </c>
      <c r="P141" s="94">
        <v>31164.2</v>
      </c>
      <c r="Q141" s="94">
        <f>2880.4</f>
        <v>2880.4</v>
      </c>
      <c r="R141" s="94">
        <f t="shared" ref="R141:R147" si="69">SUM(P141:Q141)</f>
        <v>34044.6</v>
      </c>
      <c r="S141" s="23" t="s">
        <v>423</v>
      </c>
      <c r="T141" s="8"/>
      <c r="U141" s="35"/>
    </row>
    <row r="142" spans="1:22" ht="54.75" hidden="1" customHeight="1" outlineLevel="1" x14ac:dyDescent="0.2">
      <c r="A142" s="41"/>
      <c r="B142" s="4"/>
      <c r="C142" s="5"/>
      <c r="D142" s="24"/>
      <c r="E142" s="120" t="s">
        <v>259</v>
      </c>
      <c r="F142" s="116"/>
      <c r="G142" s="116"/>
      <c r="H142" s="116"/>
      <c r="I142" s="49" t="s">
        <v>55</v>
      </c>
      <c r="J142" s="14" t="s">
        <v>41</v>
      </c>
      <c r="K142" s="14" t="s">
        <v>23</v>
      </c>
      <c r="L142" s="14" t="s">
        <v>11</v>
      </c>
      <c r="M142" s="26">
        <v>2070763.7</v>
      </c>
      <c r="N142" s="60">
        <f>46247+2350</f>
        <v>48597</v>
      </c>
      <c r="O142" s="60">
        <f t="shared" si="68"/>
        <v>2119360.7000000002</v>
      </c>
      <c r="P142" s="100">
        <v>2119360.7000000002</v>
      </c>
      <c r="Q142" s="94">
        <f>948.3+1241</f>
        <v>2189.3000000000002</v>
      </c>
      <c r="R142" s="94">
        <f t="shared" si="69"/>
        <v>2121550</v>
      </c>
      <c r="S142" s="23" t="s">
        <v>367</v>
      </c>
      <c r="T142" s="8"/>
      <c r="U142" s="35"/>
    </row>
    <row r="143" spans="1:22" ht="57" hidden="1" customHeight="1" outlineLevel="1" x14ac:dyDescent="0.2">
      <c r="A143" s="41"/>
      <c r="B143" s="4"/>
      <c r="C143" s="5"/>
      <c r="D143" s="24"/>
      <c r="E143" s="120" t="s">
        <v>260</v>
      </c>
      <c r="F143" s="116"/>
      <c r="G143" s="116"/>
      <c r="H143" s="116"/>
      <c r="I143" s="49" t="s">
        <v>54</v>
      </c>
      <c r="J143" s="14" t="s">
        <v>41</v>
      </c>
      <c r="K143" s="14" t="s">
        <v>23</v>
      </c>
      <c r="L143" s="14" t="s">
        <v>26</v>
      </c>
      <c r="M143" s="60">
        <v>41286</v>
      </c>
      <c r="N143" s="60"/>
      <c r="O143" s="60">
        <f t="shared" si="68"/>
        <v>41286</v>
      </c>
      <c r="P143" s="94">
        <v>41286</v>
      </c>
      <c r="Q143" s="94"/>
      <c r="R143" s="94">
        <f t="shared" si="69"/>
        <v>41286</v>
      </c>
      <c r="S143" s="23"/>
      <c r="T143" s="8"/>
      <c r="U143" s="35"/>
    </row>
    <row r="144" spans="1:22" ht="33.75" hidden="1" customHeight="1" outlineLevel="1" x14ac:dyDescent="0.2">
      <c r="A144" s="41"/>
      <c r="B144" s="4"/>
      <c r="C144" s="5"/>
      <c r="D144" s="24"/>
      <c r="E144" s="120" t="s">
        <v>261</v>
      </c>
      <c r="F144" s="116"/>
      <c r="G144" s="116"/>
      <c r="H144" s="116"/>
      <c r="I144" s="49" t="s">
        <v>53</v>
      </c>
      <c r="J144" s="14" t="s">
        <v>41</v>
      </c>
      <c r="K144" s="14" t="s">
        <v>23</v>
      </c>
      <c r="L144" s="14" t="s">
        <v>10</v>
      </c>
      <c r="M144" s="60">
        <v>7546.9</v>
      </c>
      <c r="N144" s="60"/>
      <c r="O144" s="60">
        <f t="shared" si="68"/>
        <v>7546.9</v>
      </c>
      <c r="P144" s="94">
        <v>7546.9</v>
      </c>
      <c r="Q144" s="94"/>
      <c r="R144" s="94">
        <f t="shared" si="69"/>
        <v>7546.9</v>
      </c>
      <c r="S144" s="23"/>
      <c r="T144" s="8"/>
      <c r="U144" s="35"/>
    </row>
    <row r="145" spans="1:21" ht="43.5" hidden="1" customHeight="1" outlineLevel="1" x14ac:dyDescent="0.2">
      <c r="A145" s="41"/>
      <c r="B145" s="4"/>
      <c r="C145" s="5"/>
      <c r="D145" s="24"/>
      <c r="E145" s="120" t="s">
        <v>262</v>
      </c>
      <c r="F145" s="116"/>
      <c r="G145" s="116"/>
      <c r="H145" s="116"/>
      <c r="I145" s="49" t="s">
        <v>52</v>
      </c>
      <c r="J145" s="14" t="s">
        <v>41</v>
      </c>
      <c r="K145" s="14" t="s">
        <v>23</v>
      </c>
      <c r="L145" s="14" t="s">
        <v>7</v>
      </c>
      <c r="M145" s="60">
        <v>2000</v>
      </c>
      <c r="N145" s="60">
        <v>904.1</v>
      </c>
      <c r="O145" s="60">
        <f t="shared" si="68"/>
        <v>2904.1</v>
      </c>
      <c r="P145" s="94">
        <v>2904.1</v>
      </c>
      <c r="Q145" s="94"/>
      <c r="R145" s="94">
        <f t="shared" si="69"/>
        <v>2904.1</v>
      </c>
      <c r="S145" s="23"/>
      <c r="T145" s="8"/>
      <c r="U145" s="35"/>
    </row>
    <row r="146" spans="1:21" ht="40.5" hidden="1" customHeight="1" outlineLevel="1" x14ac:dyDescent="0.2">
      <c r="A146" s="41"/>
      <c r="B146" s="4"/>
      <c r="C146" s="5"/>
      <c r="D146" s="24"/>
      <c r="E146" s="120" t="s">
        <v>263</v>
      </c>
      <c r="F146" s="116"/>
      <c r="G146" s="116"/>
      <c r="H146" s="116"/>
      <c r="I146" s="49" t="s">
        <v>51</v>
      </c>
      <c r="J146" s="14" t="s">
        <v>41</v>
      </c>
      <c r="K146" s="14" t="s">
        <v>23</v>
      </c>
      <c r="L146" s="14" t="s">
        <v>5</v>
      </c>
      <c r="M146" s="60">
        <v>12668.9</v>
      </c>
      <c r="N146" s="60">
        <f>712.4</f>
        <v>712.4</v>
      </c>
      <c r="O146" s="60">
        <f t="shared" si="68"/>
        <v>13381.3</v>
      </c>
      <c r="P146" s="94">
        <v>13381.3</v>
      </c>
      <c r="Q146" s="94"/>
      <c r="R146" s="94">
        <f t="shared" si="69"/>
        <v>13381.3</v>
      </c>
      <c r="S146" s="23"/>
      <c r="T146" s="8"/>
      <c r="U146" s="35"/>
    </row>
    <row r="147" spans="1:21" ht="24" hidden="1" customHeight="1" outlineLevel="1" x14ac:dyDescent="0.2">
      <c r="A147" s="41"/>
      <c r="B147" s="4"/>
      <c r="C147" s="5"/>
      <c r="D147" s="24"/>
      <c r="E147" s="120" t="s">
        <v>264</v>
      </c>
      <c r="F147" s="116"/>
      <c r="G147" s="116"/>
      <c r="H147" s="116"/>
      <c r="I147" s="49" t="s">
        <v>50</v>
      </c>
      <c r="J147" s="14" t="s">
        <v>41</v>
      </c>
      <c r="K147" s="14" t="s">
        <v>23</v>
      </c>
      <c r="L147" s="14" t="s">
        <v>1</v>
      </c>
      <c r="M147" s="60">
        <v>172009</v>
      </c>
      <c r="N147" s="60">
        <f>-1335.9+13185.5-2026-194.6</f>
        <v>9629</v>
      </c>
      <c r="O147" s="60">
        <f t="shared" si="68"/>
        <v>181638</v>
      </c>
      <c r="P147" s="94">
        <v>181638</v>
      </c>
      <c r="Q147" s="94"/>
      <c r="R147" s="94">
        <f t="shared" si="69"/>
        <v>181638</v>
      </c>
      <c r="S147" s="23"/>
      <c r="T147" s="8" t="s">
        <v>305</v>
      </c>
      <c r="U147" s="35"/>
    </row>
    <row r="148" spans="1:21" ht="42" customHeight="1" collapsed="1" x14ac:dyDescent="0.2">
      <c r="A148" s="41"/>
      <c r="B148" s="4"/>
      <c r="C148" s="5"/>
      <c r="D148" s="124" t="s">
        <v>310</v>
      </c>
      <c r="E148" s="122"/>
      <c r="F148" s="122"/>
      <c r="G148" s="122"/>
      <c r="H148" s="122"/>
      <c r="I148" s="48" t="s">
        <v>49</v>
      </c>
      <c r="J148" s="13" t="s">
        <v>41</v>
      </c>
      <c r="K148" s="13" t="s">
        <v>18</v>
      </c>
      <c r="L148" s="13" t="s">
        <v>4</v>
      </c>
      <c r="M148" s="61">
        <f>M149+M150+M151+M152+M153</f>
        <v>9950</v>
      </c>
      <c r="N148" s="61">
        <f>N149+N150+N151+N152+N153</f>
        <v>1121.9000000000001</v>
      </c>
      <c r="O148" s="61">
        <f>SUM(M148:N148)</f>
        <v>11071.9</v>
      </c>
      <c r="P148" s="93">
        <f>P149+P150+P151+P152+P153</f>
        <v>11071.9</v>
      </c>
      <c r="Q148" s="93">
        <f>Q149+Q150+Q151+Q152+Q153</f>
        <v>10564</v>
      </c>
      <c r="R148" s="93">
        <f>SUM(P148:Q148)</f>
        <v>21635.9</v>
      </c>
      <c r="S148" s="22" t="s">
        <v>368</v>
      </c>
      <c r="T148" s="8"/>
      <c r="U148" s="35"/>
    </row>
    <row r="149" spans="1:21" ht="48" hidden="1" customHeight="1" outlineLevel="1" x14ac:dyDescent="0.2">
      <c r="A149" s="41"/>
      <c r="B149" s="4"/>
      <c r="C149" s="5"/>
      <c r="D149" s="24"/>
      <c r="E149" s="120" t="s">
        <v>265</v>
      </c>
      <c r="F149" s="116"/>
      <c r="G149" s="116"/>
      <c r="H149" s="116"/>
      <c r="I149" s="49">
        <v>2020199990</v>
      </c>
      <c r="J149" s="14" t="s">
        <v>41</v>
      </c>
      <c r="K149" s="14" t="s">
        <v>18</v>
      </c>
      <c r="L149" s="14" t="s">
        <v>13</v>
      </c>
      <c r="M149" s="60">
        <v>7750</v>
      </c>
      <c r="N149" s="60">
        <v>1121.9000000000001</v>
      </c>
      <c r="O149" s="60">
        <f t="shared" si="68"/>
        <v>8871.9</v>
      </c>
      <c r="P149" s="94">
        <v>8871.9</v>
      </c>
      <c r="Q149" s="94">
        <f>10564</f>
        <v>10564</v>
      </c>
      <c r="R149" s="94">
        <f t="shared" ref="R149" si="70">SUM(P149:Q149)</f>
        <v>19435.900000000001</v>
      </c>
      <c r="S149" s="23" t="s">
        <v>368</v>
      </c>
      <c r="T149" s="8"/>
      <c r="U149" s="35"/>
    </row>
    <row r="150" spans="1:21" ht="40.5" hidden="1" customHeight="1" outlineLevel="1" x14ac:dyDescent="0.2">
      <c r="A150" s="41"/>
      <c r="B150" s="4"/>
      <c r="C150" s="5"/>
      <c r="D150" s="24"/>
      <c r="E150" s="116" t="s">
        <v>355</v>
      </c>
      <c r="F150" s="116"/>
      <c r="G150" s="116"/>
      <c r="H150" s="116"/>
      <c r="I150" s="63" t="s">
        <v>354</v>
      </c>
      <c r="J150" s="37" t="s">
        <v>41</v>
      </c>
      <c r="K150" s="37" t="s">
        <v>18</v>
      </c>
      <c r="L150" s="37" t="s">
        <v>11</v>
      </c>
      <c r="M150" s="60">
        <v>1300</v>
      </c>
      <c r="N150" s="60"/>
      <c r="O150" s="60"/>
      <c r="P150" s="94">
        <v>1300</v>
      </c>
      <c r="Q150" s="94"/>
      <c r="R150" s="94"/>
      <c r="S150" s="23"/>
      <c r="T150" s="8"/>
      <c r="U150" s="35"/>
    </row>
    <row r="151" spans="1:21" ht="50.25" hidden="1" customHeight="1" outlineLevel="1" x14ac:dyDescent="0.2">
      <c r="A151" s="41"/>
      <c r="B151" s="4"/>
      <c r="C151" s="5"/>
      <c r="D151" s="24"/>
      <c r="E151" s="120" t="s">
        <v>266</v>
      </c>
      <c r="F151" s="116"/>
      <c r="G151" s="116"/>
      <c r="H151" s="116"/>
      <c r="I151" s="49" t="s">
        <v>48</v>
      </c>
      <c r="J151" s="14" t="s">
        <v>41</v>
      </c>
      <c r="K151" s="14" t="s">
        <v>18</v>
      </c>
      <c r="L151" s="14" t="s">
        <v>26</v>
      </c>
      <c r="M151" s="60">
        <v>900</v>
      </c>
      <c r="N151" s="60"/>
      <c r="O151" s="60">
        <f t="shared" si="68"/>
        <v>900</v>
      </c>
      <c r="P151" s="94">
        <v>900</v>
      </c>
      <c r="Q151" s="94"/>
      <c r="R151" s="94">
        <f t="shared" ref="R151" si="71">SUM(P151:Q151)</f>
        <v>900</v>
      </c>
      <c r="S151" s="23"/>
      <c r="T151" s="8"/>
      <c r="U151" s="35"/>
    </row>
    <row r="152" spans="1:21" ht="48.75" hidden="1" customHeight="1" outlineLevel="1" x14ac:dyDescent="0.2">
      <c r="A152" s="41"/>
      <c r="B152" s="4"/>
      <c r="C152" s="5"/>
      <c r="D152" s="24"/>
      <c r="E152" s="147" t="s">
        <v>297</v>
      </c>
      <c r="F152" s="148"/>
      <c r="G152" s="148"/>
      <c r="H152" s="149"/>
      <c r="I152" s="49"/>
      <c r="J152" s="14">
        <v>20</v>
      </c>
      <c r="K152" s="14">
        <v>2</v>
      </c>
      <c r="L152" s="14">
        <v>4</v>
      </c>
      <c r="M152" s="60">
        <v>0</v>
      </c>
      <c r="N152" s="60"/>
      <c r="O152" s="60">
        <f>SUM(M152:N152)</f>
        <v>0</v>
      </c>
      <c r="P152" s="94">
        <v>0</v>
      </c>
      <c r="Q152" s="94"/>
      <c r="R152" s="94">
        <f>SUM(P152:Q152)</f>
        <v>0</v>
      </c>
      <c r="S152" s="23"/>
      <c r="T152" s="8"/>
      <c r="U152" s="35"/>
    </row>
    <row r="153" spans="1:21" ht="17.25" hidden="1" customHeight="1" outlineLevel="1" x14ac:dyDescent="0.2">
      <c r="A153" s="41"/>
      <c r="B153" s="4"/>
      <c r="C153" s="5"/>
      <c r="D153" s="24"/>
      <c r="E153" s="120" t="s">
        <v>267</v>
      </c>
      <c r="F153" s="116"/>
      <c r="G153" s="116"/>
      <c r="H153" s="116"/>
      <c r="I153" s="49" t="s">
        <v>47</v>
      </c>
      <c r="J153" s="14" t="s">
        <v>41</v>
      </c>
      <c r="K153" s="14" t="s">
        <v>18</v>
      </c>
      <c r="L153" s="14" t="s">
        <v>46</v>
      </c>
      <c r="M153" s="60">
        <v>0</v>
      </c>
      <c r="N153" s="60"/>
      <c r="O153" s="60">
        <f t="shared" si="68"/>
        <v>0</v>
      </c>
      <c r="P153" s="94">
        <v>0</v>
      </c>
      <c r="Q153" s="94"/>
      <c r="R153" s="94">
        <f t="shared" ref="R153" si="72">SUM(P153:Q153)</f>
        <v>0</v>
      </c>
      <c r="S153" s="23"/>
      <c r="T153" s="8"/>
      <c r="U153" s="35"/>
    </row>
    <row r="154" spans="1:21" ht="49.5" customHeight="1" collapsed="1" x14ac:dyDescent="0.2">
      <c r="A154" s="41"/>
      <c r="B154" s="4"/>
      <c r="C154" s="5"/>
      <c r="D154" s="124" t="s">
        <v>268</v>
      </c>
      <c r="E154" s="122"/>
      <c r="F154" s="122"/>
      <c r="G154" s="122"/>
      <c r="H154" s="122"/>
      <c r="I154" s="48" t="s">
        <v>45</v>
      </c>
      <c r="J154" s="13" t="s">
        <v>41</v>
      </c>
      <c r="K154" s="13" t="s">
        <v>27</v>
      </c>
      <c r="L154" s="13" t="s">
        <v>4</v>
      </c>
      <c r="M154" s="61">
        <f>M155+M156+M157</f>
        <v>79713.5</v>
      </c>
      <c r="N154" s="61">
        <f>N155+N156+N157</f>
        <v>14641.2</v>
      </c>
      <c r="O154" s="61">
        <f>SUM(M154:N154)</f>
        <v>94354.7</v>
      </c>
      <c r="P154" s="93">
        <f>P155+P156+P157</f>
        <v>94354.700000000012</v>
      </c>
      <c r="Q154" s="93">
        <f>Q155+Q156+Q157</f>
        <v>-960.4</v>
      </c>
      <c r="R154" s="93">
        <f>SUM(P154:Q154)</f>
        <v>93394.300000000017</v>
      </c>
      <c r="S154" s="22" t="s">
        <v>370</v>
      </c>
      <c r="T154" s="8"/>
      <c r="U154" s="35"/>
    </row>
    <row r="155" spans="1:21" ht="42" hidden="1" customHeight="1" outlineLevel="1" x14ac:dyDescent="0.2">
      <c r="A155" s="41"/>
      <c r="B155" s="4"/>
      <c r="C155" s="5"/>
      <c r="D155" s="24"/>
      <c r="E155" s="116" t="s">
        <v>269</v>
      </c>
      <c r="F155" s="116"/>
      <c r="G155" s="116"/>
      <c r="H155" s="116"/>
      <c r="I155" s="49" t="s">
        <v>44</v>
      </c>
      <c r="J155" s="14" t="s">
        <v>41</v>
      </c>
      <c r="K155" s="14" t="s">
        <v>27</v>
      </c>
      <c r="L155" s="14" t="s">
        <v>13</v>
      </c>
      <c r="M155" s="60">
        <v>33141.300000000003</v>
      </c>
      <c r="N155" s="60">
        <f>14446.6</f>
        <v>14446.6</v>
      </c>
      <c r="O155" s="60">
        <f t="shared" si="68"/>
        <v>47587.9</v>
      </c>
      <c r="P155" s="94">
        <v>47587.9</v>
      </c>
      <c r="Q155" s="94"/>
      <c r="R155" s="94">
        <f t="shared" ref="R155:R157" si="73">SUM(P155:Q155)</f>
        <v>47587.9</v>
      </c>
      <c r="S155" s="23"/>
      <c r="T155" s="8" t="s">
        <v>305</v>
      </c>
      <c r="U155" s="35"/>
    </row>
    <row r="156" spans="1:21" ht="39.75" hidden="1" customHeight="1" outlineLevel="1" x14ac:dyDescent="0.2">
      <c r="A156" s="41"/>
      <c r="B156" s="4"/>
      <c r="C156" s="5"/>
      <c r="D156" s="24"/>
      <c r="E156" s="116" t="s">
        <v>270</v>
      </c>
      <c r="F156" s="116"/>
      <c r="G156" s="116"/>
      <c r="H156" s="116"/>
      <c r="I156" s="49" t="s">
        <v>43</v>
      </c>
      <c r="J156" s="14" t="s">
        <v>41</v>
      </c>
      <c r="K156" s="14" t="s">
        <v>27</v>
      </c>
      <c r="L156" s="14" t="s">
        <v>11</v>
      </c>
      <c r="M156" s="60">
        <v>42972.2</v>
      </c>
      <c r="N156" s="60">
        <v>194.6</v>
      </c>
      <c r="O156" s="60">
        <f t="shared" si="68"/>
        <v>43166.799999999996</v>
      </c>
      <c r="P156" s="94">
        <v>43166.8</v>
      </c>
      <c r="Q156" s="94">
        <f>-960.4</f>
        <v>-960.4</v>
      </c>
      <c r="R156" s="94">
        <f t="shared" si="73"/>
        <v>42206.400000000001</v>
      </c>
      <c r="S156" s="23" t="s">
        <v>370</v>
      </c>
      <c r="T156" s="8"/>
      <c r="U156" s="35"/>
    </row>
    <row r="157" spans="1:21" ht="43.5" hidden="1" customHeight="1" outlineLevel="1" x14ac:dyDescent="0.2">
      <c r="A157" s="41"/>
      <c r="B157" s="4"/>
      <c r="C157" s="5"/>
      <c r="D157" s="24"/>
      <c r="E157" s="116" t="s">
        <v>271</v>
      </c>
      <c r="F157" s="116"/>
      <c r="G157" s="116"/>
      <c r="H157" s="116"/>
      <c r="I157" s="49" t="s">
        <v>42</v>
      </c>
      <c r="J157" s="14" t="s">
        <v>41</v>
      </c>
      <c r="K157" s="14" t="s">
        <v>27</v>
      </c>
      <c r="L157" s="14" t="s">
        <v>26</v>
      </c>
      <c r="M157" s="60">
        <v>3600</v>
      </c>
      <c r="N157" s="60"/>
      <c r="O157" s="60">
        <f t="shared" si="68"/>
        <v>3600</v>
      </c>
      <c r="P157" s="94">
        <v>3600</v>
      </c>
      <c r="Q157" s="94"/>
      <c r="R157" s="94">
        <f t="shared" si="73"/>
        <v>3600</v>
      </c>
      <c r="S157" s="23"/>
      <c r="T157" s="8"/>
      <c r="U157" s="35"/>
    </row>
    <row r="158" spans="1:21" ht="33.75" customHeight="1" collapsed="1" x14ac:dyDescent="0.2">
      <c r="A158" s="41"/>
      <c r="B158" s="4"/>
      <c r="C158" s="5"/>
      <c r="D158" s="123" t="s">
        <v>272</v>
      </c>
      <c r="E158" s="122"/>
      <c r="F158" s="122"/>
      <c r="G158" s="122"/>
      <c r="H158" s="122"/>
      <c r="I158" s="48" t="s">
        <v>39</v>
      </c>
      <c r="J158" s="13" t="s">
        <v>41</v>
      </c>
      <c r="K158" s="13" t="s">
        <v>40</v>
      </c>
      <c r="L158" s="13" t="s">
        <v>4</v>
      </c>
      <c r="M158" s="61">
        <f>M159</f>
        <v>15000</v>
      </c>
      <c r="N158" s="61">
        <f>N159</f>
        <v>0</v>
      </c>
      <c r="O158" s="61">
        <f>SUM(M158:N158)</f>
        <v>15000</v>
      </c>
      <c r="P158" s="93">
        <f>P159</f>
        <v>15000</v>
      </c>
      <c r="Q158" s="93">
        <f>Q159</f>
        <v>0</v>
      </c>
      <c r="R158" s="93">
        <f>SUM(P158:Q158)</f>
        <v>15000</v>
      </c>
      <c r="S158" s="22"/>
      <c r="T158" s="8"/>
      <c r="U158" s="35"/>
    </row>
    <row r="159" spans="1:21" ht="21.75" hidden="1" customHeight="1" outlineLevel="1" x14ac:dyDescent="0.2">
      <c r="A159" s="41"/>
      <c r="B159" s="4"/>
      <c r="C159" s="5"/>
      <c r="D159" s="24"/>
      <c r="E159" s="120" t="s">
        <v>273</v>
      </c>
      <c r="F159" s="116"/>
      <c r="G159" s="116"/>
      <c r="H159" s="116"/>
      <c r="I159" s="49" t="s">
        <v>39</v>
      </c>
      <c r="J159" s="14" t="s">
        <v>41</v>
      </c>
      <c r="K159" s="14" t="s">
        <v>40</v>
      </c>
      <c r="L159" s="14" t="s">
        <v>13</v>
      </c>
      <c r="M159" s="60">
        <v>15000</v>
      </c>
      <c r="N159" s="60"/>
      <c r="O159" s="60">
        <f t="shared" si="68"/>
        <v>15000</v>
      </c>
      <c r="P159" s="94">
        <v>15000</v>
      </c>
      <c r="Q159" s="94"/>
      <c r="R159" s="94">
        <f t="shared" ref="R159" si="74">SUM(P159:Q159)</f>
        <v>15000</v>
      </c>
      <c r="S159" s="23"/>
      <c r="T159" s="8"/>
      <c r="U159" s="35"/>
    </row>
    <row r="160" spans="1:21" ht="43.5" customHeight="1" collapsed="1" x14ac:dyDescent="0.2">
      <c r="A160" s="41"/>
      <c r="B160" s="8"/>
      <c r="C160" s="21"/>
      <c r="D160" s="117" t="s">
        <v>345</v>
      </c>
      <c r="E160" s="129"/>
      <c r="F160" s="129"/>
      <c r="G160" s="129"/>
      <c r="H160" s="130"/>
      <c r="I160" s="50" t="s">
        <v>38</v>
      </c>
      <c r="J160" s="18" t="s">
        <v>37</v>
      </c>
      <c r="K160" s="18" t="s">
        <v>4</v>
      </c>
      <c r="L160" s="18" t="s">
        <v>4</v>
      </c>
      <c r="M160" s="62">
        <f>M161</f>
        <v>1169</v>
      </c>
      <c r="N160" s="62">
        <f t="shared" ref="N160:R160" si="75">N161</f>
        <v>-1000</v>
      </c>
      <c r="O160" s="62">
        <f t="shared" si="75"/>
        <v>169</v>
      </c>
      <c r="P160" s="96">
        <f>P161</f>
        <v>169</v>
      </c>
      <c r="Q160" s="96">
        <f t="shared" si="75"/>
        <v>5700</v>
      </c>
      <c r="R160" s="96">
        <f t="shared" si="75"/>
        <v>5869</v>
      </c>
      <c r="S160" s="31" t="s">
        <v>384</v>
      </c>
      <c r="T160" s="8"/>
      <c r="U160" s="35"/>
    </row>
    <row r="161" spans="1:21" ht="33.75" hidden="1" outlineLevel="1" x14ac:dyDescent="0.2">
      <c r="A161" s="41"/>
      <c r="B161" s="4"/>
      <c r="C161" s="5"/>
      <c r="D161" s="24"/>
      <c r="E161" s="120" t="s">
        <v>274</v>
      </c>
      <c r="F161" s="116"/>
      <c r="G161" s="116"/>
      <c r="H161" s="116"/>
      <c r="I161" s="49" t="s">
        <v>38</v>
      </c>
      <c r="J161" s="14" t="s">
        <v>37</v>
      </c>
      <c r="K161" s="14" t="s">
        <v>2</v>
      </c>
      <c r="L161" s="14" t="s">
        <v>13</v>
      </c>
      <c r="M161" s="60">
        <v>1169</v>
      </c>
      <c r="N161" s="60">
        <v>-1000</v>
      </c>
      <c r="O161" s="60">
        <f t="shared" si="68"/>
        <v>169</v>
      </c>
      <c r="P161" s="94">
        <v>169</v>
      </c>
      <c r="Q161" s="94">
        <f>1700+4000</f>
        <v>5700</v>
      </c>
      <c r="R161" s="94">
        <f t="shared" ref="R161" si="76">SUM(P161:Q161)</f>
        <v>5869</v>
      </c>
      <c r="S161" s="23" t="s">
        <v>384</v>
      </c>
      <c r="T161" s="8"/>
      <c r="U161" s="35"/>
    </row>
    <row r="162" spans="1:21" ht="37.5" customHeight="1" collapsed="1" x14ac:dyDescent="0.2">
      <c r="A162" s="41"/>
      <c r="B162" s="8"/>
      <c r="C162" s="21"/>
      <c r="D162" s="155" t="s">
        <v>180</v>
      </c>
      <c r="E162" s="129"/>
      <c r="F162" s="129"/>
      <c r="G162" s="129"/>
      <c r="H162" s="130"/>
      <c r="I162" s="50" t="s">
        <v>36</v>
      </c>
      <c r="J162" s="18" t="s">
        <v>28</v>
      </c>
      <c r="K162" s="18" t="s">
        <v>4</v>
      </c>
      <c r="L162" s="18" t="s">
        <v>4</v>
      </c>
      <c r="M162" s="62">
        <f t="shared" ref="M162:R162" si="77">SUM(M163+M166+M168)</f>
        <v>429473.3</v>
      </c>
      <c r="N162" s="62">
        <f t="shared" si="77"/>
        <v>60.900000000000006</v>
      </c>
      <c r="O162" s="62">
        <f t="shared" si="77"/>
        <v>429534.19999999995</v>
      </c>
      <c r="P162" s="96">
        <f t="shared" si="77"/>
        <v>429534.2</v>
      </c>
      <c r="Q162" s="96">
        <f t="shared" si="77"/>
        <v>-2222.8000000000002</v>
      </c>
      <c r="R162" s="96">
        <f t="shared" si="77"/>
        <v>427311.4</v>
      </c>
      <c r="S162" s="86"/>
      <c r="T162" s="8"/>
      <c r="U162" s="35"/>
    </row>
    <row r="163" spans="1:21" ht="60" customHeight="1" x14ac:dyDescent="0.2">
      <c r="A163" s="41"/>
      <c r="B163" s="4"/>
      <c r="C163" s="5"/>
      <c r="D163" s="123" t="s">
        <v>275</v>
      </c>
      <c r="E163" s="122"/>
      <c r="F163" s="122"/>
      <c r="G163" s="122"/>
      <c r="H163" s="122"/>
      <c r="I163" s="48" t="s">
        <v>35</v>
      </c>
      <c r="J163" s="13" t="s">
        <v>28</v>
      </c>
      <c r="K163" s="13" t="s">
        <v>23</v>
      </c>
      <c r="L163" s="13" t="s">
        <v>4</v>
      </c>
      <c r="M163" s="61">
        <f>M164+M165</f>
        <v>242277.69999999998</v>
      </c>
      <c r="N163" s="61">
        <f>N164+N165</f>
        <v>60.900000000000006</v>
      </c>
      <c r="O163" s="61">
        <f>SUM(M163:N163)</f>
        <v>242338.59999999998</v>
      </c>
      <c r="P163" s="93">
        <f>P164+P165</f>
        <v>242338.6</v>
      </c>
      <c r="Q163" s="93">
        <f>Q164+Q165</f>
        <v>-2858</v>
      </c>
      <c r="R163" s="93">
        <f>SUM(P163:Q163)</f>
        <v>239480.6</v>
      </c>
      <c r="S163" s="87" t="s">
        <v>406</v>
      </c>
      <c r="T163" s="8"/>
      <c r="U163" s="35"/>
    </row>
    <row r="164" spans="1:21" ht="73.5" hidden="1" customHeight="1" outlineLevel="1" x14ac:dyDescent="0.2">
      <c r="A164" s="41"/>
      <c r="B164" s="4"/>
      <c r="C164" s="5"/>
      <c r="D164" s="24"/>
      <c r="E164" s="120" t="s">
        <v>276</v>
      </c>
      <c r="F164" s="116"/>
      <c r="G164" s="116"/>
      <c r="H164" s="116"/>
      <c r="I164" s="49" t="s">
        <v>34</v>
      </c>
      <c r="J164" s="14" t="s">
        <v>28</v>
      </c>
      <c r="K164" s="14" t="s">
        <v>23</v>
      </c>
      <c r="L164" s="14" t="s">
        <v>13</v>
      </c>
      <c r="M164" s="60">
        <v>201846.8</v>
      </c>
      <c r="N164" s="60">
        <v>-84.1</v>
      </c>
      <c r="O164" s="60">
        <f t="shared" ref="O164:O171" si="78">SUM(M164:N164)</f>
        <v>201762.69999999998</v>
      </c>
      <c r="P164" s="94">
        <v>201762.7</v>
      </c>
      <c r="Q164" s="94">
        <f>-2880.4+22.4</f>
        <v>-2858</v>
      </c>
      <c r="R164" s="94">
        <f t="shared" ref="R164:R165" si="79">SUM(P164:Q164)</f>
        <v>198904.7</v>
      </c>
      <c r="S164" s="88" t="s">
        <v>406</v>
      </c>
      <c r="T164" s="8"/>
      <c r="U164" s="35"/>
    </row>
    <row r="165" spans="1:21" ht="30.75" hidden="1" customHeight="1" outlineLevel="1" x14ac:dyDescent="0.2">
      <c r="A165" s="41"/>
      <c r="B165" s="4"/>
      <c r="C165" s="5"/>
      <c r="D165" s="24"/>
      <c r="E165" s="120" t="s">
        <v>277</v>
      </c>
      <c r="F165" s="116"/>
      <c r="G165" s="116"/>
      <c r="H165" s="116"/>
      <c r="I165" s="49" t="s">
        <v>33</v>
      </c>
      <c r="J165" s="14" t="s">
        <v>28</v>
      </c>
      <c r="K165" s="14" t="s">
        <v>23</v>
      </c>
      <c r="L165" s="14" t="s">
        <v>11</v>
      </c>
      <c r="M165" s="60">
        <v>40430.9</v>
      </c>
      <c r="N165" s="60">
        <v>145</v>
      </c>
      <c r="O165" s="60">
        <f t="shared" si="78"/>
        <v>40575.9</v>
      </c>
      <c r="P165" s="94">
        <v>40575.9</v>
      </c>
      <c r="Q165" s="94"/>
      <c r="R165" s="94">
        <f t="shared" si="79"/>
        <v>40575.9</v>
      </c>
      <c r="S165" s="89"/>
      <c r="T165" s="8"/>
      <c r="U165" s="35"/>
    </row>
    <row r="166" spans="1:21" ht="31.5" customHeight="1" collapsed="1" x14ac:dyDescent="0.2">
      <c r="A166" s="41"/>
      <c r="B166" s="4"/>
      <c r="C166" s="5"/>
      <c r="D166" s="123" t="s">
        <v>278</v>
      </c>
      <c r="E166" s="122"/>
      <c r="F166" s="122"/>
      <c r="G166" s="122"/>
      <c r="H166" s="122"/>
      <c r="I166" s="48" t="s">
        <v>32</v>
      </c>
      <c r="J166" s="13" t="s">
        <v>28</v>
      </c>
      <c r="K166" s="13" t="s">
        <v>18</v>
      </c>
      <c r="L166" s="13" t="s">
        <v>4</v>
      </c>
      <c r="M166" s="61">
        <f>M167</f>
        <v>1500</v>
      </c>
      <c r="N166" s="61">
        <f>N167</f>
        <v>0</v>
      </c>
      <c r="O166" s="61">
        <f>SUM(M166:N166)</f>
        <v>1500</v>
      </c>
      <c r="P166" s="93">
        <f>P167</f>
        <v>1500</v>
      </c>
      <c r="Q166" s="93">
        <f>Q167</f>
        <v>-600</v>
      </c>
      <c r="R166" s="93">
        <f>SUM(P166:Q166)</f>
        <v>900</v>
      </c>
      <c r="S166" s="39" t="s">
        <v>407</v>
      </c>
      <c r="T166" s="8"/>
      <c r="U166" s="35"/>
    </row>
    <row r="167" spans="1:21" ht="62.25" hidden="1" customHeight="1" outlineLevel="1" x14ac:dyDescent="0.2">
      <c r="A167" s="41"/>
      <c r="B167" s="4"/>
      <c r="C167" s="5"/>
      <c r="D167" s="24"/>
      <c r="E167" s="120" t="s">
        <v>279</v>
      </c>
      <c r="F167" s="116"/>
      <c r="G167" s="116"/>
      <c r="H167" s="116"/>
      <c r="I167" s="49" t="s">
        <v>32</v>
      </c>
      <c r="J167" s="14" t="s">
        <v>28</v>
      </c>
      <c r="K167" s="14" t="s">
        <v>18</v>
      </c>
      <c r="L167" s="14" t="s">
        <v>13</v>
      </c>
      <c r="M167" s="60">
        <v>1500</v>
      </c>
      <c r="N167" s="60"/>
      <c r="O167" s="60">
        <f t="shared" si="78"/>
        <v>1500</v>
      </c>
      <c r="P167" s="94">
        <v>1500</v>
      </c>
      <c r="Q167" s="94">
        <v>-600</v>
      </c>
      <c r="R167" s="94">
        <f t="shared" ref="R167" si="80">SUM(P167:Q167)</f>
        <v>900</v>
      </c>
      <c r="S167" s="68" t="s">
        <v>407</v>
      </c>
      <c r="T167" s="8"/>
      <c r="U167" s="35"/>
    </row>
    <row r="168" spans="1:21" ht="135" collapsed="1" x14ac:dyDescent="0.2">
      <c r="A168" s="41"/>
      <c r="B168" s="4"/>
      <c r="C168" s="5"/>
      <c r="D168" s="123" t="s">
        <v>280</v>
      </c>
      <c r="E168" s="122"/>
      <c r="F168" s="122"/>
      <c r="G168" s="122"/>
      <c r="H168" s="122"/>
      <c r="I168" s="48" t="s">
        <v>31</v>
      </c>
      <c r="J168" s="13" t="s">
        <v>28</v>
      </c>
      <c r="K168" s="13" t="s">
        <v>27</v>
      </c>
      <c r="L168" s="13" t="s">
        <v>4</v>
      </c>
      <c r="M168" s="61">
        <f>SUM(M169:M171)</f>
        <v>185695.6</v>
      </c>
      <c r="N168" s="61">
        <f t="shared" ref="N168:O168" si="81">SUM(N169:N171)</f>
        <v>0</v>
      </c>
      <c r="O168" s="61">
        <f t="shared" si="81"/>
        <v>185695.6</v>
      </c>
      <c r="P168" s="93">
        <f>SUM(P169:P171)</f>
        <v>185695.6</v>
      </c>
      <c r="Q168" s="93">
        <f t="shared" ref="Q168:R168" si="82">SUM(Q169:Q171)</f>
        <v>1235.1999999999998</v>
      </c>
      <c r="R168" s="93">
        <f t="shared" si="82"/>
        <v>186930.8</v>
      </c>
      <c r="S168" s="22" t="s">
        <v>411</v>
      </c>
      <c r="T168" s="8"/>
      <c r="U168" s="35"/>
    </row>
    <row r="169" spans="1:21" ht="87" hidden="1" customHeight="1" outlineLevel="1" x14ac:dyDescent="0.2">
      <c r="A169" s="41"/>
      <c r="B169" s="4"/>
      <c r="C169" s="5"/>
      <c r="D169" s="24"/>
      <c r="E169" s="120" t="s">
        <v>281</v>
      </c>
      <c r="F169" s="116"/>
      <c r="G169" s="116"/>
      <c r="H169" s="116"/>
      <c r="I169" s="49" t="s">
        <v>30</v>
      </c>
      <c r="J169" s="14" t="s">
        <v>28</v>
      </c>
      <c r="K169" s="14" t="s">
        <v>27</v>
      </c>
      <c r="L169" s="14" t="s">
        <v>13</v>
      </c>
      <c r="M169" s="60">
        <v>119118</v>
      </c>
      <c r="N169" s="60"/>
      <c r="O169" s="60">
        <f t="shared" si="78"/>
        <v>119118</v>
      </c>
      <c r="P169" s="94">
        <v>119118</v>
      </c>
      <c r="Q169" s="94">
        <f>279.2+960.4-64.8</f>
        <v>1174.8</v>
      </c>
      <c r="R169" s="94">
        <f t="shared" ref="R169:R171" si="83">SUM(P169:Q169)</f>
        <v>120292.8</v>
      </c>
      <c r="S169" s="23" t="s">
        <v>408</v>
      </c>
      <c r="T169" s="8"/>
      <c r="U169" s="35"/>
    </row>
    <row r="170" spans="1:21" ht="70.5" hidden="1" customHeight="1" outlineLevel="1" x14ac:dyDescent="0.2">
      <c r="A170" s="41"/>
      <c r="B170" s="4"/>
      <c r="C170" s="5"/>
      <c r="D170" s="24"/>
      <c r="E170" s="120" t="s">
        <v>282</v>
      </c>
      <c r="F170" s="116"/>
      <c r="G170" s="116"/>
      <c r="H170" s="116"/>
      <c r="I170" s="49" t="s">
        <v>29</v>
      </c>
      <c r="J170" s="14" t="s">
        <v>28</v>
      </c>
      <c r="K170" s="14" t="s">
        <v>27</v>
      </c>
      <c r="L170" s="14" t="s">
        <v>11</v>
      </c>
      <c r="M170" s="60">
        <v>56182.7</v>
      </c>
      <c r="N170" s="60"/>
      <c r="O170" s="60">
        <f t="shared" si="78"/>
        <v>56182.7</v>
      </c>
      <c r="P170" s="94">
        <v>56182.7</v>
      </c>
      <c r="Q170" s="94">
        <f>460.4</f>
        <v>460.4</v>
      </c>
      <c r="R170" s="94">
        <f t="shared" si="83"/>
        <v>56643.1</v>
      </c>
      <c r="S170" s="23" t="s">
        <v>409</v>
      </c>
      <c r="T170" s="8"/>
      <c r="U170" s="35"/>
    </row>
    <row r="171" spans="1:21" ht="56.25" hidden="1" customHeight="1" outlineLevel="1" x14ac:dyDescent="0.2">
      <c r="A171" s="41"/>
      <c r="B171" s="4"/>
      <c r="C171" s="5"/>
      <c r="D171" s="24"/>
      <c r="E171" s="120" t="s">
        <v>283</v>
      </c>
      <c r="F171" s="116"/>
      <c r="G171" s="116"/>
      <c r="H171" s="116"/>
      <c r="I171" s="49" t="s">
        <v>25</v>
      </c>
      <c r="J171" s="14" t="s">
        <v>28</v>
      </c>
      <c r="K171" s="14" t="s">
        <v>27</v>
      </c>
      <c r="L171" s="14" t="s">
        <v>26</v>
      </c>
      <c r="M171" s="26">
        <v>10394.9</v>
      </c>
      <c r="N171" s="60"/>
      <c r="O171" s="60">
        <f t="shared" si="78"/>
        <v>10394.9</v>
      </c>
      <c r="P171" s="100">
        <v>10394.9</v>
      </c>
      <c r="Q171" s="94">
        <v>-400</v>
      </c>
      <c r="R171" s="94">
        <f t="shared" si="83"/>
        <v>9994.9</v>
      </c>
      <c r="S171" s="23" t="s">
        <v>410</v>
      </c>
      <c r="T171" s="8"/>
      <c r="U171" s="35"/>
    </row>
    <row r="172" spans="1:21" ht="29.25" customHeight="1" collapsed="1" x14ac:dyDescent="0.2">
      <c r="A172" s="41"/>
      <c r="B172" s="8"/>
      <c r="C172" s="21"/>
      <c r="D172" s="117" t="s">
        <v>327</v>
      </c>
      <c r="E172" s="129"/>
      <c r="F172" s="129"/>
      <c r="G172" s="129"/>
      <c r="H172" s="130"/>
      <c r="I172" s="50" t="s">
        <v>24</v>
      </c>
      <c r="J172" s="18" t="s">
        <v>19</v>
      </c>
      <c r="K172" s="18" t="s">
        <v>4</v>
      </c>
      <c r="L172" s="18" t="s">
        <v>4</v>
      </c>
      <c r="M172" s="62">
        <f t="shared" ref="M172:O172" si="84">M173+M176</f>
        <v>16621.900000000001</v>
      </c>
      <c r="N172" s="62">
        <f t="shared" si="84"/>
        <v>1024.3</v>
      </c>
      <c r="O172" s="62">
        <f t="shared" si="84"/>
        <v>17646.2</v>
      </c>
      <c r="P172" s="96">
        <f t="shared" ref="P172" si="85">P173+P176</f>
        <v>17646.2</v>
      </c>
      <c r="Q172" s="96">
        <f>Q173+Q176+0.1</f>
        <v>28920.699999999997</v>
      </c>
      <c r="R172" s="96">
        <f>R173+R176+0.1</f>
        <v>46566.9</v>
      </c>
      <c r="S172" s="30"/>
      <c r="T172" s="8"/>
      <c r="U172" s="35"/>
    </row>
    <row r="173" spans="1:21" ht="180" x14ac:dyDescent="0.2">
      <c r="A173" s="41"/>
      <c r="B173" s="4"/>
      <c r="C173" s="5"/>
      <c r="D173" s="123" t="s">
        <v>284</v>
      </c>
      <c r="E173" s="122"/>
      <c r="F173" s="122"/>
      <c r="G173" s="122"/>
      <c r="H173" s="122"/>
      <c r="I173" s="48" t="s">
        <v>22</v>
      </c>
      <c r="J173" s="13" t="s">
        <v>19</v>
      </c>
      <c r="K173" s="13" t="s">
        <v>23</v>
      </c>
      <c r="L173" s="13" t="s">
        <v>4</v>
      </c>
      <c r="M173" s="61">
        <f>M175+M174</f>
        <v>0</v>
      </c>
      <c r="N173" s="61">
        <f>N175+N174</f>
        <v>0</v>
      </c>
      <c r="O173" s="61">
        <f>SUM(M173:N173)</f>
        <v>0</v>
      </c>
      <c r="P173" s="93">
        <f>P175+P174</f>
        <v>0</v>
      </c>
      <c r="Q173" s="93">
        <f>Q175+Q174</f>
        <v>28020.5</v>
      </c>
      <c r="R173" s="93">
        <f>SUM(P173:Q173)</f>
        <v>28020.5</v>
      </c>
      <c r="S173" s="22" t="s">
        <v>433</v>
      </c>
      <c r="T173" s="8"/>
      <c r="U173" s="35"/>
    </row>
    <row r="174" spans="1:21" ht="101.25" hidden="1" outlineLevel="1" x14ac:dyDescent="0.2">
      <c r="A174" s="41"/>
      <c r="B174" s="4"/>
      <c r="C174" s="5"/>
      <c r="D174" s="38"/>
      <c r="E174" s="116" t="s">
        <v>318</v>
      </c>
      <c r="F174" s="116"/>
      <c r="G174" s="116"/>
      <c r="H174" s="116"/>
      <c r="I174" s="49" t="s">
        <v>22</v>
      </c>
      <c r="J174" s="14" t="s">
        <v>19</v>
      </c>
      <c r="K174" s="14" t="s">
        <v>23</v>
      </c>
      <c r="L174" s="37" t="s">
        <v>13</v>
      </c>
      <c r="M174" s="60">
        <v>0</v>
      </c>
      <c r="N174" s="60"/>
      <c r="O174" s="60">
        <f t="shared" ref="O174:O175" si="86">SUM(M174:N174)</f>
        <v>0</v>
      </c>
      <c r="P174" s="94">
        <v>0</v>
      </c>
      <c r="Q174" s="94">
        <f>184+3800+3500+1500</f>
        <v>8984</v>
      </c>
      <c r="R174" s="94">
        <f t="shared" ref="R174:R175" si="87">SUM(P174:Q174)</f>
        <v>8984</v>
      </c>
      <c r="S174" s="23" t="s">
        <v>434</v>
      </c>
      <c r="T174" s="8"/>
      <c r="U174" s="35"/>
    </row>
    <row r="175" spans="1:21" ht="67.5" hidden="1" outlineLevel="1" x14ac:dyDescent="0.2">
      <c r="A175" s="41"/>
      <c r="B175" s="4"/>
      <c r="C175" s="5"/>
      <c r="D175" s="24"/>
      <c r="E175" s="120" t="s">
        <v>285</v>
      </c>
      <c r="F175" s="116"/>
      <c r="G175" s="116"/>
      <c r="H175" s="116"/>
      <c r="I175" s="49" t="s">
        <v>22</v>
      </c>
      <c r="J175" s="14" t="s">
        <v>19</v>
      </c>
      <c r="K175" s="14" t="s">
        <v>23</v>
      </c>
      <c r="L175" s="14" t="s">
        <v>17</v>
      </c>
      <c r="M175" s="60">
        <v>0</v>
      </c>
      <c r="N175" s="60"/>
      <c r="O175" s="60">
        <f t="shared" si="86"/>
        <v>0</v>
      </c>
      <c r="P175" s="94">
        <v>0</v>
      </c>
      <c r="Q175" s="94">
        <f>16181+1205.4+1650.1</f>
        <v>19036.5</v>
      </c>
      <c r="R175" s="94">
        <f t="shared" si="87"/>
        <v>19036.5</v>
      </c>
      <c r="S175" s="23" t="s">
        <v>422</v>
      </c>
      <c r="T175" s="8"/>
      <c r="U175" s="35"/>
    </row>
    <row r="176" spans="1:21" ht="45" collapsed="1" x14ac:dyDescent="0.2">
      <c r="A176" s="41"/>
      <c r="B176" s="4"/>
      <c r="C176" s="5"/>
      <c r="D176" s="123" t="s">
        <v>286</v>
      </c>
      <c r="E176" s="122"/>
      <c r="F176" s="122"/>
      <c r="G176" s="122"/>
      <c r="H176" s="122"/>
      <c r="I176" s="48" t="s">
        <v>21</v>
      </c>
      <c r="J176" s="13" t="s">
        <v>19</v>
      </c>
      <c r="K176" s="13" t="s">
        <v>18</v>
      </c>
      <c r="L176" s="13" t="s">
        <v>4</v>
      </c>
      <c r="M176" s="61">
        <f>M177+M178</f>
        <v>16621.900000000001</v>
      </c>
      <c r="N176" s="61">
        <f>N177+N178</f>
        <v>1024.3</v>
      </c>
      <c r="O176" s="61">
        <f>SUM(M176:N176)</f>
        <v>17646.2</v>
      </c>
      <c r="P176" s="93">
        <f>P177+P178</f>
        <v>17646.2</v>
      </c>
      <c r="Q176" s="93">
        <f>Q177+Q178</f>
        <v>900.1</v>
      </c>
      <c r="R176" s="93">
        <f>SUM(P176:Q176)</f>
        <v>18546.3</v>
      </c>
      <c r="S176" s="22" t="s">
        <v>425</v>
      </c>
      <c r="T176" s="8"/>
      <c r="U176" s="35"/>
    </row>
    <row r="177" spans="1:22" ht="22.5" hidden="1" customHeight="1" outlineLevel="1" x14ac:dyDescent="0.2">
      <c r="A177" s="41"/>
      <c r="B177" s="4"/>
      <c r="C177" s="5"/>
      <c r="D177" s="24"/>
      <c r="E177" s="120" t="s">
        <v>287</v>
      </c>
      <c r="F177" s="116"/>
      <c r="G177" s="116"/>
      <c r="H177" s="116"/>
      <c r="I177" s="49" t="s">
        <v>20</v>
      </c>
      <c r="J177" s="14" t="s">
        <v>19</v>
      </c>
      <c r="K177" s="14" t="s">
        <v>18</v>
      </c>
      <c r="L177" s="14" t="s">
        <v>13</v>
      </c>
      <c r="M177" s="60">
        <v>0</v>
      </c>
      <c r="N177" s="60"/>
      <c r="O177" s="60">
        <f t="shared" ref="O177:O186" si="88">SUM(M177:N177)</f>
        <v>0</v>
      </c>
      <c r="P177" s="94">
        <v>0</v>
      </c>
      <c r="Q177" s="94">
        <v>900</v>
      </c>
      <c r="R177" s="94">
        <f t="shared" ref="R177:R178" si="89">SUM(P177:Q177)</f>
        <v>900</v>
      </c>
      <c r="S177" s="23" t="s">
        <v>418</v>
      </c>
      <c r="T177" s="8"/>
      <c r="U177" s="35"/>
    </row>
    <row r="178" spans="1:22" ht="22.5" hidden="1" outlineLevel="1" x14ac:dyDescent="0.2">
      <c r="A178" s="41"/>
      <c r="B178" s="4"/>
      <c r="C178" s="5"/>
      <c r="D178" s="24"/>
      <c r="E178" s="120" t="s">
        <v>285</v>
      </c>
      <c r="F178" s="116"/>
      <c r="G178" s="116"/>
      <c r="H178" s="116"/>
      <c r="I178" s="49" t="s">
        <v>16</v>
      </c>
      <c r="J178" s="14" t="s">
        <v>19</v>
      </c>
      <c r="K178" s="14" t="s">
        <v>18</v>
      </c>
      <c r="L178" s="14" t="s">
        <v>17</v>
      </c>
      <c r="M178" s="60">
        <v>16621.900000000001</v>
      </c>
      <c r="N178" s="60">
        <f>815.6+208.7</f>
        <v>1024.3</v>
      </c>
      <c r="O178" s="60">
        <f t="shared" si="88"/>
        <v>17646.2</v>
      </c>
      <c r="P178" s="94">
        <v>17646.2</v>
      </c>
      <c r="Q178" s="94">
        <f>0.1</f>
        <v>0.1</v>
      </c>
      <c r="R178" s="94">
        <f t="shared" si="89"/>
        <v>17646.3</v>
      </c>
      <c r="S178" s="23" t="s">
        <v>424</v>
      </c>
      <c r="T178" s="8"/>
      <c r="U178" s="35"/>
    </row>
    <row r="179" spans="1:22" ht="145.5" customHeight="1" collapsed="1" x14ac:dyDescent="0.2">
      <c r="A179" s="41"/>
      <c r="B179" s="4"/>
      <c r="C179" s="5"/>
      <c r="D179" s="150" t="s">
        <v>181</v>
      </c>
      <c r="E179" s="151"/>
      <c r="F179" s="151"/>
      <c r="G179" s="151"/>
      <c r="H179" s="151"/>
      <c r="I179" s="50" t="s">
        <v>15</v>
      </c>
      <c r="J179" s="18" t="s">
        <v>3</v>
      </c>
      <c r="K179" s="18" t="s">
        <v>2</v>
      </c>
      <c r="L179" s="18" t="s">
        <v>4</v>
      </c>
      <c r="M179" s="62">
        <f>M180+M181+M182+M183+M184+M185+M186</f>
        <v>94542.9</v>
      </c>
      <c r="N179" s="62">
        <f t="shared" ref="N179:O179" si="90">N180+N181+N182+N183+N184+N185+N186</f>
        <v>45643.199999999997</v>
      </c>
      <c r="O179" s="62">
        <f t="shared" si="90"/>
        <v>140186.1</v>
      </c>
      <c r="P179" s="96">
        <f>P180+P181+P182+P183+P184+P185+P186</f>
        <v>140186.1</v>
      </c>
      <c r="Q179" s="96">
        <f t="shared" ref="Q179:R179" si="91">Q180+Q181+Q182+Q183+Q184+Q185+Q186</f>
        <v>21535.100000000002</v>
      </c>
      <c r="R179" s="96">
        <f t="shared" si="91"/>
        <v>161721.20000000001</v>
      </c>
      <c r="S179" s="31" t="s">
        <v>413</v>
      </c>
      <c r="T179" s="8"/>
      <c r="U179" s="35"/>
    </row>
    <row r="180" spans="1:22" ht="33" hidden="1" customHeight="1" outlineLevel="1" x14ac:dyDescent="0.2">
      <c r="A180" s="41"/>
      <c r="B180" s="4"/>
      <c r="C180" s="5"/>
      <c r="D180" s="24"/>
      <c r="E180" s="120" t="s">
        <v>288</v>
      </c>
      <c r="F180" s="116"/>
      <c r="G180" s="116"/>
      <c r="H180" s="116"/>
      <c r="I180" s="49" t="s">
        <v>14</v>
      </c>
      <c r="J180" s="14" t="s">
        <v>3</v>
      </c>
      <c r="K180" s="14" t="s">
        <v>2</v>
      </c>
      <c r="L180" s="14" t="s">
        <v>13</v>
      </c>
      <c r="M180" s="60">
        <v>10087.9</v>
      </c>
      <c r="N180" s="60"/>
      <c r="O180" s="60">
        <f t="shared" si="88"/>
        <v>10087.9</v>
      </c>
      <c r="P180" s="94">
        <v>10087.9</v>
      </c>
      <c r="Q180" s="94"/>
      <c r="R180" s="94">
        <f t="shared" ref="R180:R183" si="92">SUM(P180:Q180)</f>
        <v>10087.9</v>
      </c>
      <c r="S180" s="23"/>
      <c r="T180" s="8"/>
      <c r="U180" s="35"/>
      <c r="V180" s="54"/>
    </row>
    <row r="181" spans="1:22" ht="23.25" hidden="1" customHeight="1" outlineLevel="1" x14ac:dyDescent="0.2">
      <c r="A181" s="41"/>
      <c r="B181" s="4"/>
      <c r="C181" s="5"/>
      <c r="D181" s="24"/>
      <c r="E181" s="116" t="s">
        <v>289</v>
      </c>
      <c r="F181" s="116"/>
      <c r="G181" s="116"/>
      <c r="H181" s="116"/>
      <c r="I181" s="49" t="s">
        <v>12</v>
      </c>
      <c r="J181" s="14" t="s">
        <v>3</v>
      </c>
      <c r="K181" s="14" t="s">
        <v>2</v>
      </c>
      <c r="L181" s="14" t="s">
        <v>11</v>
      </c>
      <c r="M181" s="60">
        <v>12253.4</v>
      </c>
      <c r="N181" s="60"/>
      <c r="O181" s="60">
        <f t="shared" si="88"/>
        <v>12253.4</v>
      </c>
      <c r="P181" s="94">
        <v>12253.4</v>
      </c>
      <c r="Q181" s="94"/>
      <c r="R181" s="94">
        <f t="shared" si="92"/>
        <v>12253.4</v>
      </c>
      <c r="S181" s="23"/>
      <c r="T181" s="8"/>
      <c r="U181" s="35"/>
    </row>
    <row r="182" spans="1:22" ht="22.5" hidden="1" customHeight="1" outlineLevel="1" x14ac:dyDescent="0.2">
      <c r="A182" s="41"/>
      <c r="B182" s="4"/>
      <c r="C182" s="5"/>
      <c r="D182" s="24"/>
      <c r="E182" s="120" t="s">
        <v>292</v>
      </c>
      <c r="F182" s="116"/>
      <c r="G182" s="116"/>
      <c r="H182" s="116"/>
      <c r="I182" s="49" t="s">
        <v>9</v>
      </c>
      <c r="J182" s="14" t="s">
        <v>3</v>
      </c>
      <c r="K182" s="14" t="s">
        <v>2</v>
      </c>
      <c r="L182" s="14" t="s">
        <v>10</v>
      </c>
      <c r="M182" s="60">
        <v>1000</v>
      </c>
      <c r="N182" s="60"/>
      <c r="O182" s="60">
        <f t="shared" si="88"/>
        <v>1000</v>
      </c>
      <c r="P182" s="94">
        <v>1000</v>
      </c>
      <c r="Q182" s="94"/>
      <c r="R182" s="94">
        <f t="shared" si="92"/>
        <v>1000</v>
      </c>
      <c r="S182" s="23"/>
      <c r="T182" s="8"/>
      <c r="U182" s="35"/>
    </row>
    <row r="183" spans="1:22" ht="102" hidden="1" customHeight="1" outlineLevel="1" x14ac:dyDescent="0.2">
      <c r="A183" s="41"/>
      <c r="B183" s="4"/>
      <c r="C183" s="5"/>
      <c r="D183" s="24"/>
      <c r="E183" s="116" t="s">
        <v>290</v>
      </c>
      <c r="F183" s="116"/>
      <c r="G183" s="116"/>
      <c r="H183" s="116"/>
      <c r="I183" s="49" t="s">
        <v>8</v>
      </c>
      <c r="J183" s="14" t="s">
        <v>3</v>
      </c>
      <c r="K183" s="14" t="s">
        <v>2</v>
      </c>
      <c r="L183" s="14" t="s">
        <v>7</v>
      </c>
      <c r="M183" s="60">
        <v>9230</v>
      </c>
      <c r="N183" s="60">
        <f>43618.2+25-2000+4000</f>
        <v>45643.199999999997</v>
      </c>
      <c r="O183" s="60">
        <f t="shared" si="88"/>
        <v>54873.2</v>
      </c>
      <c r="P183" s="94">
        <v>54873.2</v>
      </c>
      <c r="Q183" s="94">
        <f>875.6+13663.2</f>
        <v>14538.800000000001</v>
      </c>
      <c r="R183" s="94">
        <f t="shared" si="92"/>
        <v>69412</v>
      </c>
      <c r="S183" s="23" t="s">
        <v>412</v>
      </c>
      <c r="T183" s="8"/>
      <c r="U183" s="35"/>
    </row>
    <row r="184" spans="1:22" ht="61.5" hidden="1" customHeight="1" outlineLevel="1" x14ac:dyDescent="0.2">
      <c r="A184" s="41"/>
      <c r="B184" s="4"/>
      <c r="C184" s="5"/>
      <c r="D184" s="24"/>
      <c r="E184" s="120" t="s">
        <v>277</v>
      </c>
      <c r="F184" s="116"/>
      <c r="G184" s="116"/>
      <c r="H184" s="116"/>
      <c r="I184" s="49" t="s">
        <v>6</v>
      </c>
      <c r="J184" s="14" t="s">
        <v>3</v>
      </c>
      <c r="K184" s="14" t="s">
        <v>2</v>
      </c>
      <c r="L184" s="14" t="s">
        <v>5</v>
      </c>
      <c r="M184" s="60">
        <v>61971.6</v>
      </c>
      <c r="N184" s="60"/>
      <c r="O184" s="59">
        <f>SUM(M184:N184)</f>
        <v>61971.6</v>
      </c>
      <c r="P184" s="94">
        <v>61971.6</v>
      </c>
      <c r="Q184" s="94">
        <f>7069-72.7</f>
        <v>6996.3</v>
      </c>
      <c r="R184" s="97">
        <f>SUM(P184:Q184)</f>
        <v>68967.899999999994</v>
      </c>
      <c r="S184" s="69" t="s">
        <v>381</v>
      </c>
      <c r="T184" s="8"/>
      <c r="U184" s="35"/>
    </row>
    <row r="185" spans="1:22" ht="23.25" hidden="1" customHeight="1" outlineLevel="1" x14ac:dyDescent="0.2">
      <c r="A185" s="41"/>
      <c r="B185" s="4"/>
      <c r="C185" s="5"/>
      <c r="D185" s="24"/>
      <c r="E185" s="120" t="s">
        <v>291</v>
      </c>
      <c r="F185" s="116"/>
      <c r="G185" s="116"/>
      <c r="H185" s="116"/>
      <c r="I185" s="52" t="s">
        <v>0</v>
      </c>
      <c r="J185" s="15" t="s">
        <v>3</v>
      </c>
      <c r="K185" s="15" t="s">
        <v>2</v>
      </c>
      <c r="L185" s="15" t="s">
        <v>1</v>
      </c>
      <c r="M185" s="59">
        <v>0</v>
      </c>
      <c r="N185" s="59"/>
      <c r="O185" s="60">
        <f t="shared" si="88"/>
        <v>0</v>
      </c>
      <c r="P185" s="97">
        <v>0</v>
      </c>
      <c r="Q185" s="97"/>
      <c r="R185" s="94">
        <f t="shared" ref="R185:R186" si="93">SUM(P185:Q185)</f>
        <v>0</v>
      </c>
      <c r="S185" s="23"/>
      <c r="T185" s="8"/>
      <c r="U185" s="35"/>
    </row>
    <row r="186" spans="1:22" ht="32.25" hidden="1" customHeight="1" outlineLevel="1" thickBot="1" x14ac:dyDescent="0.25">
      <c r="A186" s="75"/>
      <c r="B186" s="112"/>
      <c r="C186" s="76"/>
      <c r="D186" s="77"/>
      <c r="E186" s="133" t="s">
        <v>303</v>
      </c>
      <c r="F186" s="134"/>
      <c r="G186" s="134"/>
      <c r="H186" s="134"/>
      <c r="I186" s="78"/>
      <c r="J186" s="79" t="s">
        <v>3</v>
      </c>
      <c r="K186" s="79" t="s">
        <v>2</v>
      </c>
      <c r="L186" s="79" t="s">
        <v>304</v>
      </c>
      <c r="M186" s="80">
        <v>0</v>
      </c>
      <c r="N186" s="80"/>
      <c r="O186" s="81">
        <f t="shared" si="88"/>
        <v>0</v>
      </c>
      <c r="P186" s="101">
        <v>0</v>
      </c>
      <c r="Q186" s="101"/>
      <c r="R186" s="102">
        <f t="shared" si="93"/>
        <v>0</v>
      </c>
      <c r="S186" s="82"/>
      <c r="T186" s="8"/>
      <c r="U186" s="35"/>
    </row>
    <row r="187" spans="1:22" ht="25.5" customHeight="1" collapsed="1" thickBot="1" x14ac:dyDescent="0.25">
      <c r="A187" s="43"/>
      <c r="B187" s="44"/>
      <c r="C187" s="44"/>
      <c r="D187" s="12"/>
      <c r="E187" s="152" t="s">
        <v>182</v>
      </c>
      <c r="F187" s="153"/>
      <c r="G187" s="153"/>
      <c r="H187" s="153"/>
      <c r="I187" s="153"/>
      <c r="J187" s="153"/>
      <c r="K187" s="153"/>
      <c r="L187" s="154"/>
      <c r="M187" s="70">
        <f>(M9+M17+M22+M26+M34+M39+M51+M53+M55+M66+M70+M82+M87+M95+M112+M114+M117+M127+M138+M160+M162+M172+M179)</f>
        <v>4719917.6000000006</v>
      </c>
      <c r="N187" s="70">
        <f t="shared" ref="N187:O187" si="94">(N9+N17+N22+N26+N34+N39+N51+N53+N55+N66+N70+N82+N87+N95+N112+N114+N117+N127+N138+N160+N162+N172+N179)</f>
        <v>201990.19999999995</v>
      </c>
      <c r="O187" s="70">
        <f t="shared" si="94"/>
        <v>4921907.8</v>
      </c>
      <c r="P187" s="103">
        <f>(P9+P17+P22+P26+P34+P39+P51+P53+P55+P66+P70+P82+P87+P95+P112+P114+P117+P127+P138+P160+P162+P172+P179)</f>
        <v>4921907.8000000007</v>
      </c>
      <c r="Q187" s="103">
        <f t="shared" ref="Q187:R187" si="95">(Q9+Q17+Q22+Q26+Q34+Q39+Q51+Q53+Q55+Q66+Q70+Q82+Q87+Q95+Q112+Q114+Q117+Q127+Q138+Q160+Q162+Q172+Q179)</f>
        <v>206548.70000000004</v>
      </c>
      <c r="R187" s="103">
        <f t="shared" si="95"/>
        <v>5128456.5000000009</v>
      </c>
      <c r="S187" s="71"/>
      <c r="T187" s="8"/>
      <c r="U187" s="35"/>
    </row>
    <row r="188" spans="1:22" ht="12.75" hidden="1" customHeight="1" x14ac:dyDescent="0.2">
      <c r="A188" s="3"/>
      <c r="B188" s="3"/>
      <c r="C188" s="28"/>
      <c r="D188" s="28"/>
      <c r="E188" s="28"/>
      <c r="F188" s="28" t="s">
        <v>298</v>
      </c>
      <c r="G188" s="28"/>
      <c r="H188" s="28"/>
      <c r="I188" s="28"/>
      <c r="J188" s="28"/>
      <c r="K188" s="28"/>
      <c r="L188" s="28"/>
      <c r="M188" s="27"/>
      <c r="N188" s="27"/>
      <c r="O188" s="27"/>
      <c r="P188" s="27"/>
      <c r="Q188" s="27"/>
      <c r="R188" s="27"/>
      <c r="S188" s="2"/>
      <c r="T188" s="2"/>
      <c r="U188" s="35"/>
    </row>
    <row r="189" spans="1:22" x14ac:dyDescent="0.2">
      <c r="L189" s="21"/>
      <c r="U189" s="35"/>
    </row>
    <row r="190" spans="1:22" x14ac:dyDescent="0.2">
      <c r="R190" s="113"/>
      <c r="U190" s="35"/>
    </row>
    <row r="191" spans="1:22" x14ac:dyDescent="0.2">
      <c r="M191" s="35"/>
      <c r="P191" s="35"/>
      <c r="U191" s="35"/>
    </row>
    <row r="192" spans="1:22" x14ac:dyDescent="0.2">
      <c r="U192" s="35"/>
    </row>
    <row r="193" spans="14:21" x14ac:dyDescent="0.2">
      <c r="O193" s="35"/>
      <c r="R193" s="35"/>
      <c r="U193" s="35"/>
    </row>
    <row r="195" spans="14:21" x14ac:dyDescent="0.2">
      <c r="N195" s="35"/>
      <c r="Q195" s="35"/>
    </row>
  </sheetData>
  <mergeCells count="199">
    <mergeCell ref="P5:P7"/>
    <mergeCell ref="Q5:Q7"/>
    <mergeCell ref="R5:R7"/>
    <mergeCell ref="P139:P140"/>
    <mergeCell ref="Q139:Q140"/>
    <mergeCell ref="R139:R140"/>
    <mergeCell ref="E100:H100"/>
    <mergeCell ref="J139:J140"/>
    <mergeCell ref="K139:K140"/>
    <mergeCell ref="L139:L140"/>
    <mergeCell ref="D101:H101"/>
    <mergeCell ref="E97:H97"/>
    <mergeCell ref="E111:H111"/>
    <mergeCell ref="E98:H98"/>
    <mergeCell ref="E103:H103"/>
    <mergeCell ref="E109:H109"/>
    <mergeCell ref="D128:H128"/>
    <mergeCell ref="E119:H119"/>
    <mergeCell ref="E136:H136"/>
    <mergeCell ref="E124:H124"/>
    <mergeCell ref="E130:H130"/>
    <mergeCell ref="D123:H123"/>
    <mergeCell ref="D135:H135"/>
    <mergeCell ref="E116:H116"/>
    <mergeCell ref="N5:N7"/>
    <mergeCell ref="D27:H27"/>
    <mergeCell ref="D34:H34"/>
    <mergeCell ref="E30:H30"/>
    <mergeCell ref="D26:H26"/>
    <mergeCell ref="E24:H24"/>
    <mergeCell ref="E31:H31"/>
    <mergeCell ref="E33:H33"/>
    <mergeCell ref="E28:H28"/>
    <mergeCell ref="D10:H10"/>
    <mergeCell ref="E11:H11"/>
    <mergeCell ref="E13:H13"/>
    <mergeCell ref="E16:H16"/>
    <mergeCell ref="D32:H32"/>
    <mergeCell ref="J5:L7"/>
    <mergeCell ref="M5:M7"/>
    <mergeCell ref="D12:H12"/>
    <mergeCell ref="D14:H14"/>
    <mergeCell ref="D5:H7"/>
    <mergeCell ref="E25:H25"/>
    <mergeCell ref="D29:H29"/>
    <mergeCell ref="E89:H89"/>
    <mergeCell ref="D82:H82"/>
    <mergeCell ref="D87:H87"/>
    <mergeCell ref="E81:H81"/>
    <mergeCell ref="E79:H79"/>
    <mergeCell ref="E86:H86"/>
    <mergeCell ref="D80:H80"/>
    <mergeCell ref="E90:H90"/>
    <mergeCell ref="D114:H114"/>
    <mergeCell ref="D91:H91"/>
    <mergeCell ref="E78:H78"/>
    <mergeCell ref="D71:H71"/>
    <mergeCell ref="D66:H66"/>
    <mergeCell ref="D88:H88"/>
    <mergeCell ref="E60:H60"/>
    <mergeCell ref="D40:H40"/>
    <mergeCell ref="E63:H63"/>
    <mergeCell ref="D61:H61"/>
    <mergeCell ref="E57:H57"/>
    <mergeCell ref="E77:H77"/>
    <mergeCell ref="D70:H70"/>
    <mergeCell ref="E65:H65"/>
    <mergeCell ref="E83:H83"/>
    <mergeCell ref="E64:H64"/>
    <mergeCell ref="D35:H35"/>
    <mergeCell ref="D37:H37"/>
    <mergeCell ref="E36:H36"/>
    <mergeCell ref="E107:H107"/>
    <mergeCell ref="D106:H106"/>
    <mergeCell ref="E113:H113"/>
    <mergeCell ref="D108:H108"/>
    <mergeCell ref="D110:H110"/>
    <mergeCell ref="E43:H43"/>
    <mergeCell ref="E44:H44"/>
    <mergeCell ref="E52:H52"/>
    <mergeCell ref="E50:H50"/>
    <mergeCell ref="D112:H112"/>
    <mergeCell ref="E99:H99"/>
    <mergeCell ref="E41:H41"/>
    <mergeCell ref="E59:H59"/>
    <mergeCell ref="D93:H93"/>
    <mergeCell ref="E94:H94"/>
    <mergeCell ref="D96:H96"/>
    <mergeCell ref="E92:H92"/>
    <mergeCell ref="E58:H58"/>
    <mergeCell ref="D56:H56"/>
    <mergeCell ref="D45:H45"/>
    <mergeCell ref="E47:H47"/>
    <mergeCell ref="D117:H117"/>
    <mergeCell ref="D118:H118"/>
    <mergeCell ref="E141:H141"/>
    <mergeCell ref="E142:H142"/>
    <mergeCell ref="E145:H145"/>
    <mergeCell ref="E164:H164"/>
    <mergeCell ref="E147:H147"/>
    <mergeCell ref="D148:H148"/>
    <mergeCell ref="D160:H160"/>
    <mergeCell ref="E156:H156"/>
    <mergeCell ref="E157:H157"/>
    <mergeCell ref="E151:H151"/>
    <mergeCell ref="E159:H159"/>
    <mergeCell ref="E143:H143"/>
    <mergeCell ref="D139:H140"/>
    <mergeCell ref="E134:H134"/>
    <mergeCell ref="E144:H144"/>
    <mergeCell ref="E131:H131"/>
    <mergeCell ref="E132:H132"/>
    <mergeCell ref="E129:H129"/>
    <mergeCell ref="E125:H125"/>
    <mergeCell ref="E126:H126"/>
    <mergeCell ref="E121:H121"/>
    <mergeCell ref="E177:H177"/>
    <mergeCell ref="E180:H180"/>
    <mergeCell ref="E181:H181"/>
    <mergeCell ref="D179:H179"/>
    <mergeCell ref="E183:H183"/>
    <mergeCell ref="E182:H182"/>
    <mergeCell ref="E187:L187"/>
    <mergeCell ref="E161:H161"/>
    <mergeCell ref="D162:H162"/>
    <mergeCell ref="D176:H176"/>
    <mergeCell ref="E167:H167"/>
    <mergeCell ref="E178:H178"/>
    <mergeCell ref="E185:H185"/>
    <mergeCell ref="E184:H184"/>
    <mergeCell ref="E175:H175"/>
    <mergeCell ref="D166:H166"/>
    <mergeCell ref="E165:H165"/>
    <mergeCell ref="D172:H172"/>
    <mergeCell ref="D173:H173"/>
    <mergeCell ref="E174:H174"/>
    <mergeCell ref="E169:H169"/>
    <mergeCell ref="E171:H171"/>
    <mergeCell ref="I139:I140"/>
    <mergeCell ref="D133:H133"/>
    <mergeCell ref="E153:H153"/>
    <mergeCell ref="E137:H137"/>
    <mergeCell ref="D168:H168"/>
    <mergeCell ref="D163:H163"/>
    <mergeCell ref="E150:H150"/>
    <mergeCell ref="E155:H155"/>
    <mergeCell ref="D154:H154"/>
    <mergeCell ref="E152:H152"/>
    <mergeCell ref="D158:H158"/>
    <mergeCell ref="E149:H149"/>
    <mergeCell ref="E146:H146"/>
    <mergeCell ref="S139:S140"/>
    <mergeCell ref="E186:H186"/>
    <mergeCell ref="S5:S7"/>
    <mergeCell ref="D9:H9"/>
    <mergeCell ref="D17:H17"/>
    <mergeCell ref="D22:H22"/>
    <mergeCell ref="E15:H15"/>
    <mergeCell ref="E20:H20"/>
    <mergeCell ref="E21:H21"/>
    <mergeCell ref="I5:I7"/>
    <mergeCell ref="E170:H170"/>
    <mergeCell ref="O5:O7"/>
    <mergeCell ref="E18:H18"/>
    <mergeCell ref="O139:O140"/>
    <mergeCell ref="D95:H95"/>
    <mergeCell ref="E104:H104"/>
    <mergeCell ref="E102:H102"/>
    <mergeCell ref="E54:H54"/>
    <mergeCell ref="D51:H51"/>
    <mergeCell ref="D53:H53"/>
    <mergeCell ref="E42:H42"/>
    <mergeCell ref="E46:H46"/>
    <mergeCell ref="E48:H48"/>
    <mergeCell ref="D49:H49"/>
    <mergeCell ref="N139:N140"/>
    <mergeCell ref="E68:H68"/>
    <mergeCell ref="D55:H55"/>
    <mergeCell ref="E67:H67"/>
    <mergeCell ref="D39:H39"/>
    <mergeCell ref="E19:H19"/>
    <mergeCell ref="E23:H23"/>
    <mergeCell ref="E38:H38"/>
    <mergeCell ref="E74:H74"/>
    <mergeCell ref="E75:H75"/>
    <mergeCell ref="D73:H73"/>
    <mergeCell ref="M139:M140"/>
    <mergeCell ref="E62:H62"/>
    <mergeCell ref="D76:H76"/>
    <mergeCell ref="E72:H72"/>
    <mergeCell ref="A105:H105"/>
    <mergeCell ref="E85:H85"/>
    <mergeCell ref="E69:H69"/>
    <mergeCell ref="E120:H120"/>
    <mergeCell ref="D127:H127"/>
    <mergeCell ref="D138:H138"/>
    <mergeCell ref="E122:H122"/>
    <mergeCell ref="E115:H115"/>
    <mergeCell ref="E84:H84"/>
  </mergeCells>
  <pageMargins left="0.78740157480314965" right="0.39370078740157483" top="0.98425196850393704" bottom="0" header="0.51181102362204722" footer="0.23622047244094491"/>
  <pageSetup paperSize="9" scale="63" fitToHeight="13" orientation="landscape" verticalDpi="300" r:id="rId1"/>
  <headerFooter alignWithMargins="0"/>
  <rowBreaks count="2" manualBreakCount="2">
    <brk id="146" min="3" max="19" man="1"/>
    <brk id="166" min="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Бюджет_3</vt:lpstr>
      <vt:lpstr>Бюджет_3!Заголовки_для_печати</vt:lpstr>
      <vt:lpstr>Бюджет_3!Область_печати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Мыйня Виктория Валерьевна</dc:creator>
  <cp:lastModifiedBy>Равхатова Лариса Набиулловна</cp:lastModifiedBy>
  <cp:lastPrinted>2021-05-12T07:05:17Z</cp:lastPrinted>
  <dcterms:created xsi:type="dcterms:W3CDTF">2020-01-24T05:18:11Z</dcterms:created>
  <dcterms:modified xsi:type="dcterms:W3CDTF">2021-05-12T10:54:21Z</dcterms:modified>
</cp:coreProperties>
</file>