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19\5.уточнение декабрь\Пояснительная записка\"/>
    </mc:Choice>
  </mc:AlternateContent>
  <bookViews>
    <workbookView xWindow="0" yWindow="0" windowWidth="13995" windowHeight="10875" firstSheet="1" activeTab="1"/>
  </bookViews>
  <sheets>
    <sheet name="Бюджет_1" sheetId="2" state="hidden" r:id="rId1"/>
    <sheet name="для Н.А." sheetId="3" r:id="rId2"/>
    <sheet name="для мамонтова" sheetId="4" r:id="rId3"/>
  </sheets>
  <definedNames>
    <definedName name="_xlnm._FilterDatabase" localSheetId="0" hidden="1">Бюджет_1!$A$6:$T$165</definedName>
    <definedName name="_xlnm._FilterDatabase" localSheetId="2" hidden="1">'для мамонтова'!$A$6:$T$168</definedName>
    <definedName name="_xlnm._FilterDatabase" localSheetId="1" hidden="1">'для Н.А.'!$A$6:$T$168</definedName>
    <definedName name="_xlnm.Print_Titles" localSheetId="0">Бюджет_1!$5:$6</definedName>
    <definedName name="_xlnm.Print_Titles" localSheetId="2">'для мамонтова'!$5:$6</definedName>
    <definedName name="_xlnm.Print_Titles" localSheetId="1">'для Н.А.'!$5:$6</definedName>
    <definedName name="_xlnm.Print_Area" localSheetId="0">Бюджет_1!$A$1:$O$165</definedName>
    <definedName name="_xlnm.Print_Area" localSheetId="2">'для мамонтова'!$A$1:$U$168</definedName>
    <definedName name="_xlnm.Print_Area" localSheetId="1">'для Н.А.'!$A$1:$U$168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8" i="4" l="1"/>
  <c r="N167" i="4"/>
  <c r="Q167" i="4" s="1"/>
  <c r="T167" i="4" s="1"/>
  <c r="H167" i="4"/>
  <c r="K167" i="4" s="1"/>
  <c r="S166" i="4"/>
  <c r="P166" i="4"/>
  <c r="K166" i="4"/>
  <c r="N166" i="4" s="1"/>
  <c r="Q166" i="4" s="1"/>
  <c r="J166" i="4"/>
  <c r="H166" i="4"/>
  <c r="S165" i="4"/>
  <c r="S161" i="4" s="1"/>
  <c r="P165" i="4"/>
  <c r="M165" i="4"/>
  <c r="M161" i="4" s="1"/>
  <c r="J165" i="4"/>
  <c r="J161" i="4" s="1"/>
  <c r="H165" i="4"/>
  <c r="K165" i="4" s="1"/>
  <c r="N165" i="4" s="1"/>
  <c r="Q165" i="4" s="1"/>
  <c r="T165" i="4" s="1"/>
  <c r="S164" i="4"/>
  <c r="P164" i="4"/>
  <c r="N164" i="4"/>
  <c r="Q164" i="4" s="1"/>
  <c r="T164" i="4" s="1"/>
  <c r="M164" i="4"/>
  <c r="K164" i="4"/>
  <c r="H164" i="4"/>
  <c r="P163" i="4"/>
  <c r="K163" i="4"/>
  <c r="H163" i="4"/>
  <c r="P162" i="4"/>
  <c r="P161" i="4" s="1"/>
  <c r="K162" i="4"/>
  <c r="N162" i="4" s="1"/>
  <c r="H162" i="4"/>
  <c r="H161" i="4"/>
  <c r="G161" i="4"/>
  <c r="F161" i="4"/>
  <c r="Q160" i="4"/>
  <c r="T160" i="4" s="1"/>
  <c r="M160" i="4"/>
  <c r="H160" i="4"/>
  <c r="K160" i="4" s="1"/>
  <c r="N160" i="4" s="1"/>
  <c r="G160" i="4"/>
  <c r="P159" i="4"/>
  <c r="P158" i="4" s="1"/>
  <c r="M159" i="4"/>
  <c r="M158" i="4" s="1"/>
  <c r="H159" i="4"/>
  <c r="G159" i="4"/>
  <c r="S158" i="4"/>
  <c r="J158" i="4"/>
  <c r="G158" i="4"/>
  <c r="F158" i="4"/>
  <c r="M157" i="4"/>
  <c r="H157" i="4"/>
  <c r="K157" i="4" s="1"/>
  <c r="G157" i="4"/>
  <c r="P156" i="4"/>
  <c r="P155" i="4" s="1"/>
  <c r="M156" i="4"/>
  <c r="M155" i="4" s="1"/>
  <c r="M154" i="4" s="1"/>
  <c r="K156" i="4"/>
  <c r="N156" i="4" s="1"/>
  <c r="S155" i="4"/>
  <c r="L155" i="4"/>
  <c r="J155" i="4"/>
  <c r="I155" i="4"/>
  <c r="H155" i="4"/>
  <c r="G155" i="4"/>
  <c r="F155" i="4"/>
  <c r="F154" i="4" s="1"/>
  <c r="S154" i="4"/>
  <c r="J154" i="4"/>
  <c r="G154" i="4"/>
  <c r="N153" i="4"/>
  <c r="Q153" i="4" s="1"/>
  <c r="T153" i="4" s="1"/>
  <c r="M153" i="4"/>
  <c r="K153" i="4"/>
  <c r="H153" i="4"/>
  <c r="T152" i="4"/>
  <c r="S152" i="4"/>
  <c r="K152" i="4"/>
  <c r="N152" i="4" s="1"/>
  <c r="Q152" i="4" s="1"/>
  <c r="H152" i="4"/>
  <c r="S151" i="4"/>
  <c r="P151" i="4"/>
  <c r="H151" i="4"/>
  <c r="S150" i="4"/>
  <c r="P150" i="4"/>
  <c r="M150" i="4"/>
  <c r="J150" i="4"/>
  <c r="G150" i="4"/>
  <c r="F150" i="4"/>
  <c r="J149" i="4"/>
  <c r="J148" i="4" s="1"/>
  <c r="H149" i="4"/>
  <c r="S148" i="4"/>
  <c r="P148" i="4"/>
  <c r="M148" i="4"/>
  <c r="H148" i="4"/>
  <c r="G148" i="4"/>
  <c r="F148" i="4"/>
  <c r="F143" i="4" s="1"/>
  <c r="K147" i="4"/>
  <c r="N147" i="4" s="1"/>
  <c r="Q147" i="4" s="1"/>
  <c r="T147" i="4" s="1"/>
  <c r="H147" i="4"/>
  <c r="S146" i="4"/>
  <c r="G146" i="4"/>
  <c r="S145" i="4"/>
  <c r="P145" i="4"/>
  <c r="M145" i="4"/>
  <c r="H145" i="4"/>
  <c r="S144" i="4"/>
  <c r="S143" i="4" s="1"/>
  <c r="P144" i="4"/>
  <c r="P143" i="4" s="1"/>
  <c r="M144" i="4"/>
  <c r="M143" i="4" s="1"/>
  <c r="J144" i="4"/>
  <c r="F144" i="4"/>
  <c r="P142" i="4"/>
  <c r="J142" i="4"/>
  <c r="J141" i="4" s="1"/>
  <c r="H142" i="4"/>
  <c r="S141" i="4"/>
  <c r="P141" i="4"/>
  <c r="M141" i="4"/>
  <c r="H141" i="4"/>
  <c r="G141" i="4"/>
  <c r="F141" i="4"/>
  <c r="S140" i="4"/>
  <c r="H140" i="4"/>
  <c r="H139" i="4" s="1"/>
  <c r="S139" i="4"/>
  <c r="P139" i="4"/>
  <c r="M139" i="4"/>
  <c r="J139" i="4"/>
  <c r="G139" i="4"/>
  <c r="F139" i="4"/>
  <c r="S138" i="4"/>
  <c r="Q138" i="4"/>
  <c r="T138" i="4" s="1"/>
  <c r="P138" i="4"/>
  <c r="H138" i="4"/>
  <c r="K138" i="4" s="1"/>
  <c r="N138" i="4" s="1"/>
  <c r="S137" i="4"/>
  <c r="S135" i="4" s="1"/>
  <c r="P137" i="4"/>
  <c r="P135" i="4" s="1"/>
  <c r="M137" i="4"/>
  <c r="M135" i="4" s="1"/>
  <c r="H137" i="4"/>
  <c r="K137" i="4" s="1"/>
  <c r="N137" i="4" s="1"/>
  <c r="P136" i="4"/>
  <c r="J136" i="4"/>
  <c r="J135" i="4" s="1"/>
  <c r="H136" i="4"/>
  <c r="H135" i="4"/>
  <c r="G135" i="4"/>
  <c r="F135" i="4"/>
  <c r="Q134" i="4"/>
  <c r="T134" i="4" s="1"/>
  <c r="P134" i="4"/>
  <c r="S133" i="4"/>
  <c r="P133" i="4"/>
  <c r="M133" i="4"/>
  <c r="K133" i="4"/>
  <c r="H133" i="4"/>
  <c r="S132" i="4"/>
  <c r="P132" i="4"/>
  <c r="O132" i="4"/>
  <c r="M132" i="4"/>
  <c r="L132" i="4"/>
  <c r="J132" i="4"/>
  <c r="I132" i="4"/>
  <c r="H132" i="4"/>
  <c r="G132" i="4"/>
  <c r="F132" i="4"/>
  <c r="T131" i="4"/>
  <c r="S131" i="4"/>
  <c r="P131" i="4"/>
  <c r="N131" i="4"/>
  <c r="Q131" i="4" s="1"/>
  <c r="M131" i="4"/>
  <c r="K131" i="4"/>
  <c r="H131" i="4"/>
  <c r="H130" i="4"/>
  <c r="K130" i="4" s="1"/>
  <c r="N130" i="4" s="1"/>
  <c r="Q130" i="4" s="1"/>
  <c r="T130" i="4" s="1"/>
  <c r="S129" i="4"/>
  <c r="H129" i="4"/>
  <c r="K129" i="4" s="1"/>
  <c r="N129" i="4" s="1"/>
  <c r="Q129" i="4" s="1"/>
  <c r="T129" i="4" s="1"/>
  <c r="S128" i="4"/>
  <c r="H128" i="4"/>
  <c r="K128" i="4" s="1"/>
  <c r="N128" i="4" s="1"/>
  <c r="Q128" i="4" s="1"/>
  <c r="S127" i="4"/>
  <c r="H127" i="4"/>
  <c r="K127" i="4" s="1"/>
  <c r="N127" i="4" s="1"/>
  <c r="Q127" i="4" s="1"/>
  <c r="T127" i="4" s="1"/>
  <c r="S126" i="4"/>
  <c r="P126" i="4"/>
  <c r="M126" i="4"/>
  <c r="H126" i="4"/>
  <c r="K126" i="4" s="1"/>
  <c r="N126" i="4" s="1"/>
  <c r="Q126" i="4" s="1"/>
  <c r="T126" i="4" s="1"/>
  <c r="G126" i="4"/>
  <c r="H125" i="4"/>
  <c r="P124" i="4"/>
  <c r="P123" i="4" s="1"/>
  <c r="M124" i="4"/>
  <c r="J124" i="4"/>
  <c r="J123" i="4" s="1"/>
  <c r="G124" i="4"/>
  <c r="G123" i="4" s="1"/>
  <c r="F124" i="4"/>
  <c r="F123" i="4"/>
  <c r="K122" i="4"/>
  <c r="N122" i="4" s="1"/>
  <c r="H122" i="4"/>
  <c r="S121" i="4"/>
  <c r="P121" i="4"/>
  <c r="M121" i="4"/>
  <c r="J121" i="4"/>
  <c r="H121" i="4"/>
  <c r="G121" i="4"/>
  <c r="F121" i="4"/>
  <c r="Q120" i="4"/>
  <c r="T120" i="4" s="1"/>
  <c r="K120" i="4"/>
  <c r="N120" i="4" s="1"/>
  <c r="H120" i="4"/>
  <c r="T119" i="4"/>
  <c r="S119" i="4"/>
  <c r="P119" i="4"/>
  <c r="N119" i="4"/>
  <c r="M119" i="4"/>
  <c r="K119" i="4"/>
  <c r="J119" i="4"/>
  <c r="H119" i="4"/>
  <c r="H118" i="4" s="1"/>
  <c r="G119" i="4"/>
  <c r="F119" i="4"/>
  <c r="S118" i="4"/>
  <c r="P118" i="4"/>
  <c r="M118" i="4"/>
  <c r="J118" i="4"/>
  <c r="G118" i="4"/>
  <c r="H117" i="4"/>
  <c r="S116" i="4"/>
  <c r="P116" i="4"/>
  <c r="M116" i="4"/>
  <c r="J116" i="4"/>
  <c r="G116" i="4"/>
  <c r="F116" i="4"/>
  <c r="H115" i="4"/>
  <c r="K115" i="4" s="1"/>
  <c r="N115" i="4" s="1"/>
  <c r="Q115" i="4" s="1"/>
  <c r="T115" i="4" s="1"/>
  <c r="Q114" i="4"/>
  <c r="T114" i="4" s="1"/>
  <c r="K114" i="4"/>
  <c r="N114" i="4" s="1"/>
  <c r="G114" i="4"/>
  <c r="H114" i="4" s="1"/>
  <c r="S113" i="4"/>
  <c r="P113" i="4"/>
  <c r="P111" i="4" s="1"/>
  <c r="P110" i="4" s="1"/>
  <c r="K113" i="4"/>
  <c r="N113" i="4" s="1"/>
  <c r="J113" i="4"/>
  <c r="H113" i="4"/>
  <c r="G113" i="4"/>
  <c r="H112" i="4"/>
  <c r="S111" i="4"/>
  <c r="S110" i="4" s="1"/>
  <c r="M111" i="4"/>
  <c r="J111" i="4"/>
  <c r="J110" i="4" s="1"/>
  <c r="G111" i="4"/>
  <c r="G110" i="4" s="1"/>
  <c r="F111" i="4"/>
  <c r="F110" i="4"/>
  <c r="Q109" i="4"/>
  <c r="T109" i="4" s="1"/>
  <c r="K109" i="4"/>
  <c r="N109" i="4" s="1"/>
  <c r="H109" i="4"/>
  <c r="N108" i="4"/>
  <c r="Q108" i="4" s="1"/>
  <c r="H108" i="4"/>
  <c r="K108" i="4" s="1"/>
  <c r="K107" i="4" s="1"/>
  <c r="S107" i="4"/>
  <c r="P107" i="4"/>
  <c r="N107" i="4"/>
  <c r="M107" i="4"/>
  <c r="J107" i="4"/>
  <c r="G107" i="4"/>
  <c r="F107" i="4"/>
  <c r="N106" i="4"/>
  <c r="K106" i="4"/>
  <c r="H106" i="4"/>
  <c r="S105" i="4"/>
  <c r="P105" i="4"/>
  <c r="M105" i="4"/>
  <c r="K105" i="4"/>
  <c r="J105" i="4"/>
  <c r="H105" i="4"/>
  <c r="G105" i="4"/>
  <c r="F105" i="4"/>
  <c r="N104" i="4"/>
  <c r="K104" i="4"/>
  <c r="H104" i="4"/>
  <c r="S103" i="4"/>
  <c r="P103" i="4"/>
  <c r="M103" i="4"/>
  <c r="K103" i="4"/>
  <c r="J103" i="4"/>
  <c r="H103" i="4"/>
  <c r="G103" i="4"/>
  <c r="G90" i="4" s="1"/>
  <c r="F103" i="4"/>
  <c r="P102" i="4"/>
  <c r="P101" i="4" s="1"/>
  <c r="H102" i="4"/>
  <c r="K102" i="4" s="1"/>
  <c r="S101" i="4"/>
  <c r="M101" i="4"/>
  <c r="J101" i="4"/>
  <c r="H101" i="4"/>
  <c r="G101" i="4"/>
  <c r="F101" i="4"/>
  <c r="P100" i="4"/>
  <c r="H100" i="4"/>
  <c r="S99" i="4"/>
  <c r="P99" i="4"/>
  <c r="M99" i="4"/>
  <c r="J99" i="4"/>
  <c r="G99" i="4"/>
  <c r="F99" i="4"/>
  <c r="H98" i="4"/>
  <c r="K98" i="4" s="1"/>
  <c r="N98" i="4" s="1"/>
  <c r="Q98" i="4" s="1"/>
  <c r="T98" i="4" s="1"/>
  <c r="P97" i="4"/>
  <c r="N97" i="4"/>
  <c r="Q97" i="4" s="1"/>
  <c r="T97" i="4" s="1"/>
  <c r="K97" i="4"/>
  <c r="H97" i="4"/>
  <c r="P96" i="4"/>
  <c r="P95" i="4" s="1"/>
  <c r="M96" i="4"/>
  <c r="K96" i="4"/>
  <c r="J96" i="4"/>
  <c r="J95" i="4" s="1"/>
  <c r="G96" i="4"/>
  <c r="H96" i="4" s="1"/>
  <c r="H95" i="4" s="1"/>
  <c r="S95" i="4"/>
  <c r="M95" i="4"/>
  <c r="G95" i="4"/>
  <c r="F95" i="4"/>
  <c r="Q94" i="4"/>
  <c r="T94" i="4" s="1"/>
  <c r="P94" i="4"/>
  <c r="N94" i="4"/>
  <c r="P93" i="4"/>
  <c r="M93" i="4"/>
  <c r="M91" i="4" s="1"/>
  <c r="K93" i="4"/>
  <c r="N93" i="4" s="1"/>
  <c r="Q93" i="4" s="1"/>
  <c r="T93" i="4" s="1"/>
  <c r="H93" i="4"/>
  <c r="S92" i="4"/>
  <c r="S91" i="4" s="1"/>
  <c r="S90" i="4" s="1"/>
  <c r="J92" i="4"/>
  <c r="H92" i="4"/>
  <c r="P91" i="4"/>
  <c r="J91" i="4"/>
  <c r="G91" i="4"/>
  <c r="F91" i="4"/>
  <c r="F90" i="4" s="1"/>
  <c r="P89" i="4"/>
  <c r="M89" i="4"/>
  <c r="K89" i="4"/>
  <c r="N89" i="4" s="1"/>
  <c r="H89" i="4"/>
  <c r="H88" i="4" s="1"/>
  <c r="S88" i="4"/>
  <c r="P88" i="4"/>
  <c r="M88" i="4"/>
  <c r="K88" i="4"/>
  <c r="J88" i="4"/>
  <c r="G88" i="4"/>
  <c r="F88" i="4"/>
  <c r="K87" i="4"/>
  <c r="H87" i="4"/>
  <c r="H86" i="4" s="1"/>
  <c r="G87" i="4"/>
  <c r="S86" i="4"/>
  <c r="S82" i="4" s="1"/>
  <c r="P86" i="4"/>
  <c r="M86" i="4"/>
  <c r="J86" i="4"/>
  <c r="G86" i="4"/>
  <c r="G82" i="4" s="1"/>
  <c r="F86" i="4"/>
  <c r="P85" i="4"/>
  <c r="M85" i="4"/>
  <c r="H85" i="4"/>
  <c r="K85" i="4" s="1"/>
  <c r="N85" i="4" s="1"/>
  <c r="Q85" i="4" s="1"/>
  <c r="T85" i="4" s="1"/>
  <c r="P84" i="4"/>
  <c r="M84" i="4"/>
  <c r="M83" i="4" s="1"/>
  <c r="M82" i="4" s="1"/>
  <c r="J84" i="4"/>
  <c r="H84" i="4"/>
  <c r="S83" i="4"/>
  <c r="P83" i="4"/>
  <c r="P82" i="4" s="1"/>
  <c r="J83" i="4"/>
  <c r="J82" i="4" s="1"/>
  <c r="G83" i="4"/>
  <c r="F83" i="4"/>
  <c r="F82" i="4" s="1"/>
  <c r="M81" i="4"/>
  <c r="H81" i="4"/>
  <c r="S80" i="4"/>
  <c r="P80" i="4"/>
  <c r="H80" i="4"/>
  <c r="K80" i="4" s="1"/>
  <c r="S79" i="4"/>
  <c r="P79" i="4"/>
  <c r="P78" i="4" s="1"/>
  <c r="N79" i="4"/>
  <c r="K79" i="4"/>
  <c r="H79" i="4"/>
  <c r="S78" i="4"/>
  <c r="M78" i="4"/>
  <c r="J78" i="4"/>
  <c r="G78" i="4"/>
  <c r="F78" i="4"/>
  <c r="S77" i="4"/>
  <c r="S76" i="4" s="1"/>
  <c r="J77" i="4"/>
  <c r="H77" i="4"/>
  <c r="P76" i="4"/>
  <c r="M76" i="4"/>
  <c r="J76" i="4"/>
  <c r="J65" i="4" s="1"/>
  <c r="G76" i="4"/>
  <c r="F76" i="4"/>
  <c r="T75" i="4"/>
  <c r="P75" i="4"/>
  <c r="M75" i="4"/>
  <c r="N75" i="4" s="1"/>
  <c r="Q75" i="4" s="1"/>
  <c r="H75" i="4"/>
  <c r="Q74" i="4"/>
  <c r="T74" i="4" s="1"/>
  <c r="S73" i="4"/>
  <c r="K73" i="4"/>
  <c r="N73" i="4" s="1"/>
  <c r="Q73" i="4" s="1"/>
  <c r="T73" i="4" s="1"/>
  <c r="J73" i="4"/>
  <c r="H73" i="4"/>
  <c r="S72" i="4"/>
  <c r="S71" i="4" s="1"/>
  <c r="P72" i="4"/>
  <c r="M72" i="4"/>
  <c r="M71" i="4" s="1"/>
  <c r="J72" i="4"/>
  <c r="G72" i="4"/>
  <c r="P71" i="4"/>
  <c r="J71" i="4"/>
  <c r="T70" i="4"/>
  <c r="H70" i="4"/>
  <c r="K70" i="4" s="1"/>
  <c r="N70" i="4" s="1"/>
  <c r="Q70" i="4" s="1"/>
  <c r="S69" i="4"/>
  <c r="N69" i="4"/>
  <c r="Q69" i="4" s="1"/>
  <c r="M69" i="4"/>
  <c r="H69" i="4"/>
  <c r="K69" i="4" s="1"/>
  <c r="K68" i="4" s="1"/>
  <c r="S68" i="4"/>
  <c r="P68" i="4"/>
  <c r="M68" i="4"/>
  <c r="J68" i="4"/>
  <c r="H68" i="4"/>
  <c r="G68" i="4"/>
  <c r="F68" i="4"/>
  <c r="P67" i="4"/>
  <c r="M67" i="4"/>
  <c r="K67" i="4"/>
  <c r="N67" i="4" s="1"/>
  <c r="H67" i="4"/>
  <c r="H66" i="4" s="1"/>
  <c r="S66" i="4"/>
  <c r="P66" i="4"/>
  <c r="M66" i="4"/>
  <c r="M65" i="4" s="1"/>
  <c r="K66" i="4"/>
  <c r="J66" i="4"/>
  <c r="G66" i="4"/>
  <c r="F66" i="4"/>
  <c r="P65" i="4"/>
  <c r="S64" i="4"/>
  <c r="P64" i="4"/>
  <c r="K64" i="4"/>
  <c r="N64" i="4" s="1"/>
  <c r="H64" i="4"/>
  <c r="S63" i="4"/>
  <c r="P63" i="4"/>
  <c r="H63" i="4"/>
  <c r="K63" i="4" s="1"/>
  <c r="N63" i="4" s="1"/>
  <c r="Q63" i="4" s="1"/>
  <c r="T63" i="4" s="1"/>
  <c r="P62" i="4"/>
  <c r="H62" i="4"/>
  <c r="S61" i="4"/>
  <c r="P61" i="4"/>
  <c r="M61" i="4"/>
  <c r="J61" i="4"/>
  <c r="G61" i="4"/>
  <c r="F61" i="4"/>
  <c r="S60" i="4"/>
  <c r="P60" i="4"/>
  <c r="J60" i="4"/>
  <c r="J57" i="4" s="1"/>
  <c r="H60" i="4"/>
  <c r="T59" i="4"/>
  <c r="G59" i="4"/>
  <c r="H59" i="4" s="1"/>
  <c r="K59" i="4" s="1"/>
  <c r="N59" i="4" s="1"/>
  <c r="S58" i="4"/>
  <c r="T58" i="4" s="1"/>
  <c r="P58" i="4"/>
  <c r="M58" i="4"/>
  <c r="K58" i="4"/>
  <c r="N58" i="4" s="1"/>
  <c r="J58" i="4"/>
  <c r="H58" i="4"/>
  <c r="S57" i="4"/>
  <c r="P57" i="4"/>
  <c r="M57" i="4"/>
  <c r="M51" i="4" s="1"/>
  <c r="S56" i="4"/>
  <c r="S52" i="4" s="1"/>
  <c r="S51" i="4" s="1"/>
  <c r="P56" i="4"/>
  <c r="K56" i="4"/>
  <c r="N56" i="4" s="1"/>
  <c r="Q56" i="4" s="1"/>
  <c r="H56" i="4"/>
  <c r="T55" i="4"/>
  <c r="S55" i="4"/>
  <c r="Q55" i="4"/>
  <c r="K55" i="4"/>
  <c r="N55" i="4" s="1"/>
  <c r="H55" i="4"/>
  <c r="P54" i="4"/>
  <c r="P52" i="4" s="1"/>
  <c r="K54" i="4"/>
  <c r="N54" i="4" s="1"/>
  <c r="H54" i="4"/>
  <c r="S53" i="4"/>
  <c r="K53" i="4"/>
  <c r="N53" i="4" s="1"/>
  <c r="Q53" i="4" s="1"/>
  <c r="H53" i="4"/>
  <c r="N52" i="4"/>
  <c r="M52" i="4"/>
  <c r="J52" i="4"/>
  <c r="H52" i="4"/>
  <c r="H51" i="4" s="1"/>
  <c r="G52" i="4"/>
  <c r="F52" i="4"/>
  <c r="F51" i="4" s="1"/>
  <c r="P51" i="4"/>
  <c r="J51" i="4"/>
  <c r="H50" i="4"/>
  <c r="K50" i="4" s="1"/>
  <c r="K48" i="4" s="1"/>
  <c r="S49" i="4"/>
  <c r="S48" i="4" s="1"/>
  <c r="P49" i="4"/>
  <c r="P48" i="4" s="1"/>
  <c r="K49" i="4"/>
  <c r="N49" i="4" s="1"/>
  <c r="H49" i="4"/>
  <c r="M48" i="4"/>
  <c r="J48" i="4"/>
  <c r="G48" i="4"/>
  <c r="F48" i="4"/>
  <c r="Q47" i="4"/>
  <c r="T47" i="4" s="1"/>
  <c r="T46" i="4" s="1"/>
  <c r="K47" i="4"/>
  <c r="N47" i="4" s="1"/>
  <c r="N46" i="4" s="1"/>
  <c r="H47" i="4"/>
  <c r="S46" i="4"/>
  <c r="P46" i="4"/>
  <c r="M46" i="4"/>
  <c r="K46" i="4"/>
  <c r="J46" i="4"/>
  <c r="H46" i="4"/>
  <c r="G46" i="4"/>
  <c r="F46" i="4"/>
  <c r="S45" i="4"/>
  <c r="S44" i="4" s="1"/>
  <c r="P45" i="4"/>
  <c r="K45" i="4"/>
  <c r="J45" i="4"/>
  <c r="H45" i="4"/>
  <c r="H44" i="4" s="1"/>
  <c r="P44" i="4"/>
  <c r="M44" i="4"/>
  <c r="J44" i="4"/>
  <c r="G44" i="4"/>
  <c r="F44" i="4"/>
  <c r="N43" i="4"/>
  <c r="Q43" i="4" s="1"/>
  <c r="T43" i="4" s="1"/>
  <c r="H43" i="4"/>
  <c r="K43" i="4" s="1"/>
  <c r="S42" i="4"/>
  <c r="M42" i="4"/>
  <c r="M40" i="4" s="1"/>
  <c r="K42" i="4"/>
  <c r="N42" i="4" s="1"/>
  <c r="Q42" i="4" s="1"/>
  <c r="T42" i="4" s="1"/>
  <c r="H42" i="4"/>
  <c r="S41" i="4"/>
  <c r="K41" i="4"/>
  <c r="N41" i="4" s="1"/>
  <c r="Q41" i="4" s="1"/>
  <c r="H41" i="4"/>
  <c r="P40" i="4"/>
  <c r="J40" i="4"/>
  <c r="H40" i="4"/>
  <c r="G40" i="4"/>
  <c r="F40" i="4"/>
  <c r="K39" i="4"/>
  <c r="N39" i="4" s="1"/>
  <c r="Q39" i="4" s="1"/>
  <c r="T39" i="4" s="1"/>
  <c r="J39" i="4"/>
  <c r="H39" i="4"/>
  <c r="P38" i="4"/>
  <c r="M38" i="4"/>
  <c r="G38" i="4"/>
  <c r="H38" i="4" s="1"/>
  <c r="K38" i="4" s="1"/>
  <c r="N38" i="4" s="1"/>
  <c r="Q38" i="4" s="1"/>
  <c r="T38" i="4" s="1"/>
  <c r="M37" i="4"/>
  <c r="M36" i="4" s="1"/>
  <c r="M35" i="4" s="1"/>
  <c r="J37" i="4"/>
  <c r="G37" i="4"/>
  <c r="H37" i="4" s="1"/>
  <c r="S36" i="4"/>
  <c r="P36" i="4"/>
  <c r="J36" i="4"/>
  <c r="J35" i="4" s="1"/>
  <c r="F36" i="4"/>
  <c r="F35" i="4"/>
  <c r="K34" i="4"/>
  <c r="N34" i="4" s="1"/>
  <c r="Q34" i="4" s="1"/>
  <c r="H34" i="4"/>
  <c r="S33" i="4"/>
  <c r="P33" i="4"/>
  <c r="N33" i="4"/>
  <c r="M33" i="4"/>
  <c r="K33" i="4"/>
  <c r="J33" i="4"/>
  <c r="H33" i="4"/>
  <c r="G33" i="4"/>
  <c r="F33" i="4"/>
  <c r="F30" i="4" s="1"/>
  <c r="S32" i="4"/>
  <c r="H32" i="4"/>
  <c r="S31" i="4"/>
  <c r="S30" i="4" s="1"/>
  <c r="P31" i="4"/>
  <c r="P30" i="4" s="1"/>
  <c r="M31" i="4"/>
  <c r="M30" i="4" s="1"/>
  <c r="J31" i="4"/>
  <c r="J30" i="4" s="1"/>
  <c r="G31" i="4"/>
  <c r="G30" i="4" s="1"/>
  <c r="F31" i="4"/>
  <c r="Q29" i="4"/>
  <c r="T29" i="4" s="1"/>
  <c r="N29" i="4"/>
  <c r="H28" i="4"/>
  <c r="S27" i="4"/>
  <c r="P27" i="4"/>
  <c r="M27" i="4"/>
  <c r="J27" i="4"/>
  <c r="G27" i="4"/>
  <c r="F27" i="4"/>
  <c r="N26" i="4"/>
  <c r="Q26" i="4" s="1"/>
  <c r="T26" i="4" s="1"/>
  <c r="H26" i="4"/>
  <c r="K26" i="4" s="1"/>
  <c r="Q25" i="4"/>
  <c r="T25" i="4" s="1"/>
  <c r="K25" i="4"/>
  <c r="N25" i="4" s="1"/>
  <c r="H25" i="4"/>
  <c r="N24" i="4"/>
  <c r="Q24" i="4" s="1"/>
  <c r="T24" i="4" s="1"/>
  <c r="H24" i="4"/>
  <c r="K24" i="4" s="1"/>
  <c r="Q23" i="4"/>
  <c r="T23" i="4" s="1"/>
  <c r="K23" i="4"/>
  <c r="N23" i="4" s="1"/>
  <c r="H23" i="4"/>
  <c r="N22" i="4"/>
  <c r="Q22" i="4" s="1"/>
  <c r="T22" i="4" s="1"/>
  <c r="H22" i="4"/>
  <c r="K22" i="4" s="1"/>
  <c r="Q21" i="4"/>
  <c r="T21" i="4" s="1"/>
  <c r="K21" i="4"/>
  <c r="N21" i="4" s="1"/>
  <c r="H21" i="4"/>
  <c r="G20" i="4" s="1"/>
  <c r="S20" i="4"/>
  <c r="P20" i="4"/>
  <c r="M20" i="4"/>
  <c r="K20" i="4"/>
  <c r="J20" i="4"/>
  <c r="H20" i="4"/>
  <c r="F20" i="4"/>
  <c r="K19" i="4"/>
  <c r="N19" i="4" s="1"/>
  <c r="Q19" i="4" s="1"/>
  <c r="T19" i="4" s="1"/>
  <c r="H19" i="4"/>
  <c r="T18" i="4"/>
  <c r="S18" i="4"/>
  <c r="Q18" i="4"/>
  <c r="K18" i="4"/>
  <c r="N18" i="4" s="1"/>
  <c r="H18" i="4"/>
  <c r="N17" i="4"/>
  <c r="Q17" i="4" s="1"/>
  <c r="T17" i="4" s="1"/>
  <c r="H17" i="4"/>
  <c r="K17" i="4" s="1"/>
  <c r="S16" i="4"/>
  <c r="S15" i="4" s="1"/>
  <c r="H16" i="4"/>
  <c r="P15" i="4"/>
  <c r="M15" i="4"/>
  <c r="J15" i="4"/>
  <c r="G15" i="4"/>
  <c r="F15" i="4"/>
  <c r="N14" i="4"/>
  <c r="Q14" i="4" s="1"/>
  <c r="T14" i="4" s="1"/>
  <c r="H14" i="4"/>
  <c r="K14" i="4" s="1"/>
  <c r="P13" i="4"/>
  <c r="H13" i="4"/>
  <c r="S12" i="4"/>
  <c r="P12" i="4"/>
  <c r="M12" i="4"/>
  <c r="J12" i="4"/>
  <c r="G12" i="4"/>
  <c r="F12" i="4"/>
  <c r="H11" i="4"/>
  <c r="S10" i="4"/>
  <c r="P10" i="4"/>
  <c r="M10" i="4"/>
  <c r="J10" i="4"/>
  <c r="G10" i="4"/>
  <c r="F10" i="4"/>
  <c r="H9" i="4"/>
  <c r="K9" i="4" s="1"/>
  <c r="K8" i="4" s="1"/>
  <c r="S8" i="4"/>
  <c r="S7" i="4" s="1"/>
  <c r="P8" i="4"/>
  <c r="M8" i="4"/>
  <c r="J8" i="4"/>
  <c r="J7" i="4" s="1"/>
  <c r="G8" i="4"/>
  <c r="G7" i="4" s="1"/>
  <c r="F8" i="4"/>
  <c r="M7" i="4"/>
  <c r="F7" i="4"/>
  <c r="Q40" i="4" l="1"/>
  <c r="T41" i="4"/>
  <c r="T40" i="4" s="1"/>
  <c r="T20" i="4"/>
  <c r="T34" i="4"/>
  <c r="T33" i="4" s="1"/>
  <c r="Q33" i="4"/>
  <c r="Q52" i="4"/>
  <c r="T53" i="4"/>
  <c r="K28" i="4"/>
  <c r="H27" i="4"/>
  <c r="P35" i="4"/>
  <c r="S40" i="4"/>
  <c r="K52" i="4"/>
  <c r="K51" i="4" s="1"/>
  <c r="H8" i="4"/>
  <c r="P7" i="4"/>
  <c r="N9" i="4"/>
  <c r="Q20" i="4"/>
  <c r="H31" i="4"/>
  <c r="H30" i="4" s="1"/>
  <c r="K32" i="4"/>
  <c r="G36" i="4"/>
  <c r="G35" i="4" s="1"/>
  <c r="G168" i="4" s="1"/>
  <c r="S35" i="4"/>
  <c r="N40" i="4"/>
  <c r="Q46" i="4"/>
  <c r="H48" i="4"/>
  <c r="Q49" i="4"/>
  <c r="N50" i="4"/>
  <c r="K60" i="4"/>
  <c r="N60" i="4" s="1"/>
  <c r="Q60" i="4" s="1"/>
  <c r="S65" i="4"/>
  <c r="K11" i="4"/>
  <c r="H10" i="4"/>
  <c r="K37" i="4"/>
  <c r="H36" i="4"/>
  <c r="H35" i="4" s="1"/>
  <c r="K44" i="4"/>
  <c r="N45" i="4"/>
  <c r="K62" i="4"/>
  <c r="H61" i="4"/>
  <c r="N87" i="4"/>
  <c r="K86" i="4"/>
  <c r="K100" i="4"/>
  <c r="H99" i="4"/>
  <c r="K13" i="4"/>
  <c r="H12" i="4"/>
  <c r="N20" i="4"/>
  <c r="Q54" i="4"/>
  <c r="T54" i="4" s="1"/>
  <c r="G57" i="4"/>
  <c r="G51" i="4" s="1"/>
  <c r="Q64" i="4"/>
  <c r="T64" i="4" s="1"/>
  <c r="N66" i="4"/>
  <c r="Q67" i="4"/>
  <c r="N80" i="4"/>
  <c r="Q80" i="4" s="1"/>
  <c r="T80" i="4" s="1"/>
  <c r="K78" i="4"/>
  <c r="K84" i="4"/>
  <c r="H83" i="4"/>
  <c r="H82" i="4" s="1"/>
  <c r="N88" i="4"/>
  <c r="Q89" i="4"/>
  <c r="P90" i="4"/>
  <c r="H15" i="4"/>
  <c r="K16" i="4"/>
  <c r="K40" i="4"/>
  <c r="T56" i="4"/>
  <c r="Q79" i="4"/>
  <c r="N96" i="4"/>
  <c r="K95" i="4"/>
  <c r="Q68" i="4"/>
  <c r="T69" i="4"/>
  <c r="T68" i="4" s="1"/>
  <c r="K81" i="4"/>
  <c r="N81" i="4" s="1"/>
  <c r="Q81" i="4" s="1"/>
  <c r="T81" i="4" s="1"/>
  <c r="H78" i="4"/>
  <c r="K92" i="4"/>
  <c r="H91" i="4"/>
  <c r="H90" i="4" s="1"/>
  <c r="K101" i="4"/>
  <c r="N102" i="4"/>
  <c r="Q104" i="4"/>
  <c r="N103" i="4"/>
  <c r="Q107" i="4"/>
  <c r="T108" i="4"/>
  <c r="T107" i="4" s="1"/>
  <c r="K121" i="4"/>
  <c r="N68" i="4"/>
  <c r="G71" i="4"/>
  <c r="G65" i="4" s="1"/>
  <c r="H72" i="4"/>
  <c r="F71" i="4"/>
  <c r="F65" i="4" s="1"/>
  <c r="F168" i="4" s="1"/>
  <c r="K77" i="4"/>
  <c r="H76" i="4"/>
  <c r="J90" i="4"/>
  <c r="J168" i="4" s="1"/>
  <c r="M90" i="4"/>
  <c r="M168" i="4" s="1"/>
  <c r="N121" i="4"/>
  <c r="N118" i="4" s="1"/>
  <c r="Q122" i="4"/>
  <c r="K151" i="4"/>
  <c r="H150" i="4"/>
  <c r="Q106" i="4"/>
  <c r="N105" i="4"/>
  <c r="Q156" i="4"/>
  <c r="Q113" i="4"/>
  <c r="T113" i="4" s="1"/>
  <c r="M123" i="4"/>
  <c r="S124" i="4"/>
  <c r="S123" i="4" s="1"/>
  <c r="T128" i="4"/>
  <c r="K149" i="4"/>
  <c r="Q162" i="4"/>
  <c r="T166" i="4"/>
  <c r="H107" i="4"/>
  <c r="H111" i="4"/>
  <c r="K112" i="4"/>
  <c r="K125" i="4"/>
  <c r="H124" i="4"/>
  <c r="H123" i="4" s="1"/>
  <c r="N133" i="4"/>
  <c r="K132" i="4"/>
  <c r="Q137" i="4"/>
  <c r="T137" i="4" s="1"/>
  <c r="N157" i="4"/>
  <c r="Q157" i="4" s="1"/>
  <c r="T157" i="4" s="1"/>
  <c r="K155" i="4"/>
  <c r="M110" i="4"/>
  <c r="H116" i="4"/>
  <c r="K117" i="4"/>
  <c r="F118" i="4"/>
  <c r="K118" i="4"/>
  <c r="Q119" i="4"/>
  <c r="K142" i="4"/>
  <c r="J143" i="4"/>
  <c r="K145" i="4"/>
  <c r="H144" i="4"/>
  <c r="H143" i="4" s="1"/>
  <c r="G144" i="4"/>
  <c r="G143" i="4" s="1"/>
  <c r="H146" i="4"/>
  <c r="K146" i="4" s="1"/>
  <c r="N146" i="4" s="1"/>
  <c r="Q146" i="4" s="1"/>
  <c r="T146" i="4" s="1"/>
  <c r="H154" i="4"/>
  <c r="P154" i="4"/>
  <c r="H158" i="4"/>
  <c r="K159" i="4"/>
  <c r="K161" i="4"/>
  <c r="N163" i="4"/>
  <c r="K136" i="4"/>
  <c r="K140" i="4"/>
  <c r="S165" i="3"/>
  <c r="S150" i="3"/>
  <c r="S151" i="3"/>
  <c r="S145" i="3"/>
  <c r="K144" i="4" l="1"/>
  <c r="N145" i="4"/>
  <c r="N142" i="4"/>
  <c r="K141" i="4"/>
  <c r="K116" i="4"/>
  <c r="N117" i="4"/>
  <c r="Q155" i="4"/>
  <c r="T156" i="4"/>
  <c r="T155" i="4" s="1"/>
  <c r="N78" i="4"/>
  <c r="K83" i="4"/>
  <c r="K82" i="4" s="1"/>
  <c r="N84" i="4"/>
  <c r="N100" i="4"/>
  <c r="K99" i="4"/>
  <c r="N62" i="4"/>
  <c r="K61" i="4"/>
  <c r="Q50" i="4"/>
  <c r="T50" i="4" s="1"/>
  <c r="N48" i="4"/>
  <c r="H7" i="4"/>
  <c r="K135" i="4"/>
  <c r="N136" i="4"/>
  <c r="Q163" i="4"/>
  <c r="T163" i="4" s="1"/>
  <c r="N161" i="4"/>
  <c r="N125" i="4"/>
  <c r="K124" i="4"/>
  <c r="N155" i="4"/>
  <c r="N151" i="4"/>
  <c r="K150" i="4"/>
  <c r="K72" i="4"/>
  <c r="H71" i="4"/>
  <c r="H65" i="4" s="1"/>
  <c r="T104" i="4"/>
  <c r="T103" i="4" s="1"/>
  <c r="Q103" i="4"/>
  <c r="K91" i="4"/>
  <c r="K90" i="4" s="1"/>
  <c r="N92" i="4"/>
  <c r="Q78" i="4"/>
  <c r="T79" i="4"/>
  <c r="T78" i="4" s="1"/>
  <c r="K15" i="4"/>
  <c r="N16" i="4"/>
  <c r="T89" i="4"/>
  <c r="T88" i="4" s="1"/>
  <c r="Q88" i="4"/>
  <c r="N37" i="4"/>
  <c r="K36" i="4"/>
  <c r="K35" i="4" s="1"/>
  <c r="T49" i="4"/>
  <c r="Q48" i="4"/>
  <c r="T52" i="4"/>
  <c r="K12" i="4"/>
  <c r="N13" i="4"/>
  <c r="Q87" i="4"/>
  <c r="N86" i="4"/>
  <c r="Q45" i="4"/>
  <c r="N44" i="4"/>
  <c r="Q57" i="4"/>
  <c r="Q51" i="4" s="1"/>
  <c r="T60" i="4"/>
  <c r="T57" i="4" s="1"/>
  <c r="N8" i="4"/>
  <c r="Q9" i="4"/>
  <c r="K27" i="4"/>
  <c r="N28" i="4"/>
  <c r="K111" i="4"/>
  <c r="N112" i="4"/>
  <c r="T162" i="4"/>
  <c r="T161" i="4" s="1"/>
  <c r="Q161" i="4"/>
  <c r="T122" i="4"/>
  <c r="T121" i="4" s="1"/>
  <c r="T118" i="4" s="1"/>
  <c r="Q121" i="4"/>
  <c r="Q118" i="4" s="1"/>
  <c r="Q102" i="4"/>
  <c r="N101" i="4"/>
  <c r="K139" i="4"/>
  <c r="N140" i="4"/>
  <c r="N159" i="4"/>
  <c r="K158" i="4"/>
  <c r="K154" i="4" s="1"/>
  <c r="N132" i="4"/>
  <c r="Q133" i="4"/>
  <c r="H110" i="4"/>
  <c r="N149" i="4"/>
  <c r="K148" i="4"/>
  <c r="T106" i="4"/>
  <c r="T105" i="4" s="1"/>
  <c r="Q105" i="4"/>
  <c r="K76" i="4"/>
  <c r="N77" i="4"/>
  <c r="Q96" i="4"/>
  <c r="N95" i="4"/>
  <c r="T67" i="4"/>
  <c r="T66" i="4" s="1"/>
  <c r="Q66" i="4"/>
  <c r="K10" i="4"/>
  <c r="K7" i="4" s="1"/>
  <c r="N11" i="4"/>
  <c r="K31" i="4"/>
  <c r="K30" i="4" s="1"/>
  <c r="N32" i="4"/>
  <c r="N57" i="4"/>
  <c r="N51" i="4" s="1"/>
  <c r="S32" i="3"/>
  <c r="N76" i="4" l="1"/>
  <c r="Q77" i="4"/>
  <c r="T87" i="4"/>
  <c r="T86" i="4" s="1"/>
  <c r="Q86" i="4"/>
  <c r="N148" i="4"/>
  <c r="Q149" i="4"/>
  <c r="K110" i="4"/>
  <c r="Q8" i="4"/>
  <c r="T9" i="4"/>
  <c r="T8" i="4" s="1"/>
  <c r="N12" i="4"/>
  <c r="Q13" i="4"/>
  <c r="T48" i="4"/>
  <c r="N150" i="4"/>
  <c r="Q151" i="4"/>
  <c r="Q32" i="4"/>
  <c r="N31" i="4"/>
  <c r="N30" i="4" s="1"/>
  <c r="Q112" i="4"/>
  <c r="N111" i="4"/>
  <c r="Q11" i="4"/>
  <c r="N10" i="4"/>
  <c r="N7" i="4"/>
  <c r="Q44" i="4"/>
  <c r="T45" i="4"/>
  <c r="T44" i="4" s="1"/>
  <c r="Q16" i="4"/>
  <c r="N15" i="4"/>
  <c r="N91" i="4"/>
  <c r="Q92" i="4"/>
  <c r="H168" i="4"/>
  <c r="Q62" i="4"/>
  <c r="N61" i="4"/>
  <c r="Q84" i="4"/>
  <c r="N83" i="4"/>
  <c r="N82" i="4" s="1"/>
  <c r="N141" i="4"/>
  <c r="Q142" i="4"/>
  <c r="Q140" i="4"/>
  <c r="N139" i="4"/>
  <c r="Q95" i="4"/>
  <c r="T96" i="4"/>
  <c r="T95" i="4" s="1"/>
  <c r="T133" i="4"/>
  <c r="T132" i="4" s="1"/>
  <c r="Q132" i="4"/>
  <c r="N158" i="4"/>
  <c r="N154" i="4" s="1"/>
  <c r="Q159" i="4"/>
  <c r="T102" i="4"/>
  <c r="T101" i="4" s="1"/>
  <c r="Q101" i="4"/>
  <c r="Q28" i="4"/>
  <c r="N27" i="4"/>
  <c r="T51" i="4"/>
  <c r="N36" i="4"/>
  <c r="N35" i="4" s="1"/>
  <c r="Q37" i="4"/>
  <c r="N72" i="4"/>
  <c r="K71" i="4"/>
  <c r="K65" i="4" s="1"/>
  <c r="K168" i="4" s="1"/>
  <c r="K123" i="4"/>
  <c r="Q117" i="4"/>
  <c r="N116" i="4"/>
  <c r="Q145" i="4"/>
  <c r="N144" i="4"/>
  <c r="N143" i="4" s="1"/>
  <c r="Q125" i="4"/>
  <c r="N124" i="4"/>
  <c r="Q136" i="4"/>
  <c r="N135" i="4"/>
  <c r="N99" i="4"/>
  <c r="Q100" i="4"/>
  <c r="K143" i="4"/>
  <c r="S18" i="3"/>
  <c r="T100" i="4" l="1"/>
  <c r="T99" i="4" s="1"/>
  <c r="Q99" i="4"/>
  <c r="N123" i="4"/>
  <c r="Q72" i="4"/>
  <c r="N71" i="4"/>
  <c r="N65" i="4" s="1"/>
  <c r="T159" i="4"/>
  <c r="T158" i="4" s="1"/>
  <c r="T154" i="4" s="1"/>
  <c r="Q158" i="4"/>
  <c r="Q154" i="4" s="1"/>
  <c r="T140" i="4"/>
  <c r="T139" i="4" s="1"/>
  <c r="Q139" i="4"/>
  <c r="T62" i="4"/>
  <c r="T61" i="4" s="1"/>
  <c r="Q61" i="4"/>
  <c r="N90" i="4"/>
  <c r="N110" i="4"/>
  <c r="T13" i="4"/>
  <c r="T12" i="4" s="1"/>
  <c r="Q12" i="4"/>
  <c r="Q144" i="4"/>
  <c r="T145" i="4"/>
  <c r="T144" i="4" s="1"/>
  <c r="T92" i="4"/>
  <c r="T91" i="4" s="1"/>
  <c r="T90" i="4" s="1"/>
  <c r="Q91" i="4"/>
  <c r="Q90" i="4" s="1"/>
  <c r="Q124" i="4"/>
  <c r="Q123" i="4" s="1"/>
  <c r="T125" i="4"/>
  <c r="T124" i="4" s="1"/>
  <c r="T37" i="4"/>
  <c r="T36" i="4" s="1"/>
  <c r="T35" i="4" s="1"/>
  <c r="Q36" i="4"/>
  <c r="Q35" i="4" s="1"/>
  <c r="N168" i="4"/>
  <c r="Q111" i="4"/>
  <c r="T112" i="4"/>
  <c r="T111" i="4" s="1"/>
  <c r="T151" i="4"/>
  <c r="T150" i="4" s="1"/>
  <c r="Q150" i="4"/>
  <c r="T149" i="4"/>
  <c r="T148" i="4" s="1"/>
  <c r="Q148" i="4"/>
  <c r="Q135" i="4"/>
  <c r="T136" i="4"/>
  <c r="T135" i="4" s="1"/>
  <c r="Q116" i="4"/>
  <c r="T117" i="4"/>
  <c r="T116" i="4" s="1"/>
  <c r="Q27" i="4"/>
  <c r="T28" i="4"/>
  <c r="T27" i="4" s="1"/>
  <c r="T142" i="4"/>
  <c r="T141" i="4" s="1"/>
  <c r="Q141" i="4"/>
  <c r="Q83" i="4"/>
  <c r="Q82" i="4" s="1"/>
  <c r="T84" i="4"/>
  <c r="T83" i="4" s="1"/>
  <c r="T82" i="4" s="1"/>
  <c r="T16" i="4"/>
  <c r="T15" i="4" s="1"/>
  <c r="Q15" i="4"/>
  <c r="T77" i="4"/>
  <c r="T76" i="4" s="1"/>
  <c r="Q76" i="4"/>
  <c r="Q10" i="4"/>
  <c r="Q7" i="4" s="1"/>
  <c r="T11" i="4"/>
  <c r="T10" i="4" s="1"/>
  <c r="T7" i="4" s="1"/>
  <c r="T32" i="4"/>
  <c r="T31" i="4" s="1"/>
  <c r="T30" i="4" s="1"/>
  <c r="Q31" i="4"/>
  <c r="Q30" i="4" s="1"/>
  <c r="S129" i="3"/>
  <c r="S164" i="3"/>
  <c r="T168" i="4" l="1"/>
  <c r="T72" i="4"/>
  <c r="T71" i="4" s="1"/>
  <c r="T65" i="4" s="1"/>
  <c r="Q71" i="4"/>
  <c r="Q65" i="4" s="1"/>
  <c r="Q168" i="4" s="1"/>
  <c r="P168" i="4" s="1"/>
  <c r="T110" i="4"/>
  <c r="Q143" i="4"/>
  <c r="Q110" i="4"/>
  <c r="T123" i="4"/>
  <c r="T143" i="4"/>
  <c r="S42" i="3"/>
  <c r="S45" i="3"/>
  <c r="S168" i="4" l="1"/>
  <c r="S126" i="3"/>
  <c r="S133" i="3"/>
  <c r="S127" i="3"/>
  <c r="S128" i="3"/>
  <c r="S131" i="3"/>
  <c r="P131" i="3"/>
  <c r="P126" i="3"/>
  <c r="S140" i="3" l="1"/>
  <c r="S80" i="3"/>
  <c r="S79" i="3"/>
  <c r="S58" i="3" l="1"/>
  <c r="S56" i="3"/>
  <c r="S152" i="3" l="1"/>
  <c r="S77" i="3" l="1"/>
  <c r="S64" i="3"/>
  <c r="S63" i="3"/>
  <c r="S16" i="3" l="1"/>
  <c r="S69" i="3" l="1"/>
  <c r="S73" i="3"/>
  <c r="S60" i="3"/>
  <c r="P38" i="3" l="1"/>
  <c r="S49" i="3"/>
  <c r="S53" i="3" l="1"/>
  <c r="S55" i="3"/>
  <c r="S138" i="3"/>
  <c r="S137" i="3"/>
  <c r="S72" i="3" l="1"/>
  <c r="S41" i="3" l="1"/>
  <c r="S166" i="3" l="1"/>
  <c r="S146" i="3" l="1"/>
  <c r="S92" i="3"/>
  <c r="S113" i="3"/>
  <c r="S66" i="3" l="1"/>
  <c r="S161" i="3"/>
  <c r="S158" i="3"/>
  <c r="S155" i="3"/>
  <c r="S148" i="3"/>
  <c r="S144" i="3"/>
  <c r="S141" i="3"/>
  <c r="S139" i="3"/>
  <c r="S135" i="3"/>
  <c r="S132" i="3"/>
  <c r="S121" i="3"/>
  <c r="S119" i="3"/>
  <c r="S116" i="3"/>
  <c r="S107" i="3"/>
  <c r="S105" i="3"/>
  <c r="S103" i="3"/>
  <c r="S101" i="3"/>
  <c r="S99" i="3"/>
  <c r="S95" i="3"/>
  <c r="S88" i="3"/>
  <c r="S86" i="3"/>
  <c r="S83" i="3"/>
  <c r="S78" i="3"/>
  <c r="S76" i="3"/>
  <c r="S71" i="3"/>
  <c r="S68" i="3"/>
  <c r="S61" i="3"/>
  <c r="S57" i="3"/>
  <c r="S48" i="3"/>
  <c r="S46" i="3"/>
  <c r="S44" i="3"/>
  <c r="S40" i="3"/>
  <c r="S36" i="3"/>
  <c r="S33" i="3"/>
  <c r="S31" i="3"/>
  <c r="S27" i="3"/>
  <c r="S20" i="3"/>
  <c r="S15" i="3"/>
  <c r="S12" i="3"/>
  <c r="S10" i="3"/>
  <c r="S8" i="3"/>
  <c r="S30" i="3" l="1"/>
  <c r="S118" i="3"/>
  <c r="S154" i="3"/>
  <c r="S65" i="3"/>
  <c r="S82" i="3"/>
  <c r="S7" i="3"/>
  <c r="S143" i="3"/>
  <c r="S35" i="3"/>
  <c r="S111" i="3"/>
  <c r="S110" i="3" s="1"/>
  <c r="S124" i="3"/>
  <c r="S123" i="3" s="1"/>
  <c r="S52" i="3"/>
  <c r="S51" i="3" s="1"/>
  <c r="S91" i="3"/>
  <c r="S90" i="3" s="1"/>
  <c r="P133" i="3"/>
  <c r="P137" i="3"/>
  <c r="P165" i="3" l="1"/>
  <c r="P162" i="3"/>
  <c r="P145" i="3"/>
  <c r="P144" i="3" s="1"/>
  <c r="P13" i="3"/>
  <c r="P12" i="3" s="1"/>
  <c r="P163" i="3"/>
  <c r="P45" i="3" l="1"/>
  <c r="P79" i="3" l="1"/>
  <c r="P56" i="3"/>
  <c r="P102" i="3" l="1"/>
  <c r="P49" i="3" l="1"/>
  <c r="P72" i="3" l="1"/>
  <c r="P62" i="3"/>
  <c r="P60" i="3" l="1"/>
  <c r="P151" i="3"/>
  <c r="P113" i="3"/>
  <c r="P96" i="3"/>
  <c r="P97" i="3"/>
  <c r="P93" i="3"/>
  <c r="P84" i="3"/>
  <c r="P89" i="3" l="1"/>
  <c r="Q74" i="3" l="1"/>
  <c r="T74" i="3" s="1"/>
  <c r="P164" i="3" l="1"/>
  <c r="P58" i="3" l="1"/>
  <c r="P100" i="3" l="1"/>
  <c r="P142" i="3" l="1"/>
  <c r="P138" i="3" l="1"/>
  <c r="M131" i="3" l="1"/>
  <c r="M126" i="3"/>
  <c r="P134" i="3"/>
  <c r="P80" i="3" l="1"/>
  <c r="P64" i="3" l="1"/>
  <c r="P166" i="3" l="1"/>
  <c r="P94" i="3" l="1"/>
  <c r="P63" i="3" l="1"/>
  <c r="P75" i="3"/>
  <c r="P71" i="3" s="1"/>
  <c r="P159" i="3" l="1"/>
  <c r="P156" i="3"/>
  <c r="P85" i="3" l="1"/>
  <c r="P67" i="3" l="1"/>
  <c r="P124" i="3" l="1"/>
  <c r="F132" i="3"/>
  <c r="G132" i="3"/>
  <c r="I132" i="3"/>
  <c r="J132" i="3"/>
  <c r="L132" i="3"/>
  <c r="O132" i="3"/>
  <c r="P132" i="3"/>
  <c r="Q134" i="3"/>
  <c r="T134" i="3" s="1"/>
  <c r="P54" i="3" l="1"/>
  <c r="P136" i="3" l="1"/>
  <c r="P161" i="3" l="1"/>
  <c r="P158" i="3"/>
  <c r="P155" i="3"/>
  <c r="P150" i="3"/>
  <c r="P148" i="3"/>
  <c r="P141" i="3"/>
  <c r="P139" i="3"/>
  <c r="P135" i="3"/>
  <c r="P121" i="3"/>
  <c r="P119" i="3"/>
  <c r="P116" i="3"/>
  <c r="P111" i="3"/>
  <c r="P107" i="3"/>
  <c r="P105" i="3"/>
  <c r="P103" i="3"/>
  <c r="P101" i="3"/>
  <c r="P99" i="3"/>
  <c r="P95" i="3"/>
  <c r="P88" i="3"/>
  <c r="P86" i="3"/>
  <c r="P83" i="3"/>
  <c r="P78" i="3"/>
  <c r="P76" i="3"/>
  <c r="P68" i="3"/>
  <c r="P66" i="3"/>
  <c r="P61" i="3"/>
  <c r="P57" i="3"/>
  <c r="P52" i="3"/>
  <c r="P48" i="3"/>
  <c r="P46" i="3"/>
  <c r="P44" i="3"/>
  <c r="P40" i="3"/>
  <c r="P36" i="3"/>
  <c r="P33" i="3"/>
  <c r="P31" i="3"/>
  <c r="P27" i="3"/>
  <c r="P20" i="3"/>
  <c r="P15" i="3"/>
  <c r="P10" i="3"/>
  <c r="P8" i="3"/>
  <c r="P7" i="3" l="1"/>
  <c r="P30" i="3"/>
  <c r="P65" i="3"/>
  <c r="P35" i="3"/>
  <c r="P143" i="3"/>
  <c r="P110" i="3"/>
  <c r="P154" i="3"/>
  <c r="P51" i="3"/>
  <c r="P82" i="3"/>
  <c r="P118" i="3"/>
  <c r="P123" i="3"/>
  <c r="P91" i="3"/>
  <c r="P90" i="3" s="1"/>
  <c r="M145" i="3"/>
  <c r="M27" i="3" l="1"/>
  <c r="N29" i="3"/>
  <c r="Q29" i="3" s="1"/>
  <c r="T29" i="3" s="1"/>
  <c r="M93" i="3" l="1"/>
  <c r="M165" i="3" l="1"/>
  <c r="M164" i="3"/>
  <c r="M153" i="3" l="1"/>
  <c r="L168" i="3" l="1"/>
  <c r="M42" i="3" l="1"/>
  <c r="M96" i="3" l="1"/>
  <c r="M58" i="3" l="1"/>
  <c r="M160" i="3" l="1"/>
  <c r="M67" i="3"/>
  <c r="M69" i="3"/>
  <c r="M66" i="3" l="1"/>
  <c r="H167" i="3" l="1"/>
  <c r="K167" i="3" s="1"/>
  <c r="N167" i="3" s="1"/>
  <c r="Q167" i="3" s="1"/>
  <c r="T167" i="3" s="1"/>
  <c r="J166" i="3"/>
  <c r="H166" i="3"/>
  <c r="J165" i="3"/>
  <c r="H165" i="3"/>
  <c r="H164" i="3"/>
  <c r="K164" i="3" s="1"/>
  <c r="N164" i="3" s="1"/>
  <c r="Q164" i="3" s="1"/>
  <c r="T164" i="3" s="1"/>
  <c r="H163" i="3"/>
  <c r="K163" i="3" s="1"/>
  <c r="N163" i="3" s="1"/>
  <c r="Q163" i="3" s="1"/>
  <c r="T163" i="3" s="1"/>
  <c r="H162" i="3"/>
  <c r="K162" i="3" s="1"/>
  <c r="N162" i="3" s="1"/>
  <c r="Q162" i="3" s="1"/>
  <c r="T162" i="3" s="1"/>
  <c r="M161" i="3"/>
  <c r="G161" i="3"/>
  <c r="F161" i="3"/>
  <c r="G160" i="3"/>
  <c r="H160" i="3" s="1"/>
  <c r="K160" i="3" s="1"/>
  <c r="N160" i="3" s="1"/>
  <c r="Q160" i="3" s="1"/>
  <c r="T160" i="3" s="1"/>
  <c r="M159" i="3"/>
  <c r="M158" i="3" s="1"/>
  <c r="G159" i="3"/>
  <c r="H159" i="3" s="1"/>
  <c r="J158" i="3"/>
  <c r="F158" i="3"/>
  <c r="M157" i="3"/>
  <c r="G157" i="3"/>
  <c r="H157" i="3" s="1"/>
  <c r="K157" i="3" s="1"/>
  <c r="M156" i="3"/>
  <c r="K156" i="3"/>
  <c r="L155" i="3"/>
  <c r="J155" i="3"/>
  <c r="I155" i="3"/>
  <c r="F155" i="3"/>
  <c r="H153" i="3"/>
  <c r="H152" i="3"/>
  <c r="K152" i="3" s="1"/>
  <c r="N152" i="3" s="1"/>
  <c r="Q152" i="3" s="1"/>
  <c r="T152" i="3" s="1"/>
  <c r="H151" i="3"/>
  <c r="K151" i="3" s="1"/>
  <c r="N151" i="3" s="1"/>
  <c r="Q151" i="3" s="1"/>
  <c r="T151" i="3" s="1"/>
  <c r="M150" i="3"/>
  <c r="J150" i="3"/>
  <c r="G150" i="3"/>
  <c r="F150" i="3"/>
  <c r="J149" i="3"/>
  <c r="H149" i="3"/>
  <c r="H148" i="3" s="1"/>
  <c r="M148" i="3"/>
  <c r="G148" i="3"/>
  <c r="F148" i="3"/>
  <c r="H147" i="3"/>
  <c r="K147" i="3" s="1"/>
  <c r="N147" i="3" s="1"/>
  <c r="Q147" i="3" s="1"/>
  <c r="T147" i="3" s="1"/>
  <c r="G146" i="3"/>
  <c r="H146" i="3" s="1"/>
  <c r="H145" i="3"/>
  <c r="K145" i="3" s="1"/>
  <c r="N145" i="3" s="1"/>
  <c r="Q145" i="3" s="1"/>
  <c r="T145" i="3" s="1"/>
  <c r="M144" i="3"/>
  <c r="J144" i="3"/>
  <c r="F144" i="3"/>
  <c r="J142" i="3"/>
  <c r="J141" i="3" s="1"/>
  <c r="H142" i="3"/>
  <c r="M141" i="3"/>
  <c r="G141" i="3"/>
  <c r="F141" i="3"/>
  <c r="H140" i="3"/>
  <c r="K140" i="3" s="1"/>
  <c r="N140" i="3" s="1"/>
  <c r="M139" i="3"/>
  <c r="J139" i="3"/>
  <c r="G139" i="3"/>
  <c r="F139" i="3"/>
  <c r="H138" i="3"/>
  <c r="K138" i="3" s="1"/>
  <c r="N138" i="3" s="1"/>
  <c r="Q138" i="3" s="1"/>
  <c r="T138" i="3" s="1"/>
  <c r="M137" i="3"/>
  <c r="H137" i="3"/>
  <c r="K137" i="3" s="1"/>
  <c r="J136" i="3"/>
  <c r="J135" i="3" s="1"/>
  <c r="H136" i="3"/>
  <c r="M135" i="3"/>
  <c r="G135" i="3"/>
  <c r="F135" i="3"/>
  <c r="M133" i="3"/>
  <c r="M132" i="3" s="1"/>
  <c r="H133" i="3"/>
  <c r="H131" i="3"/>
  <c r="K131" i="3" s="1"/>
  <c r="N131" i="3" s="1"/>
  <c r="Q131" i="3" s="1"/>
  <c r="T131" i="3" s="1"/>
  <c r="H130" i="3"/>
  <c r="K130" i="3" s="1"/>
  <c r="N130" i="3" s="1"/>
  <c r="Q130" i="3" s="1"/>
  <c r="T130" i="3" s="1"/>
  <c r="H129" i="3"/>
  <c r="K129" i="3" s="1"/>
  <c r="N129" i="3" s="1"/>
  <c r="Q129" i="3" s="1"/>
  <c r="T129" i="3" s="1"/>
  <c r="H128" i="3"/>
  <c r="K128" i="3" s="1"/>
  <c r="N128" i="3" s="1"/>
  <c r="Q128" i="3" s="1"/>
  <c r="T128" i="3" s="1"/>
  <c r="H127" i="3"/>
  <c r="K127" i="3" s="1"/>
  <c r="N127" i="3" s="1"/>
  <c r="Q127" i="3" s="1"/>
  <c r="T127" i="3" s="1"/>
  <c r="G126" i="3"/>
  <c r="H126" i="3" s="1"/>
  <c r="K126" i="3" s="1"/>
  <c r="N126" i="3" s="1"/>
  <c r="Q126" i="3" s="1"/>
  <c r="T126" i="3" s="1"/>
  <c r="H125" i="3"/>
  <c r="K125" i="3" s="1"/>
  <c r="N125" i="3" s="1"/>
  <c r="Q125" i="3" s="1"/>
  <c r="T125" i="3" s="1"/>
  <c r="M124" i="3"/>
  <c r="J124" i="3"/>
  <c r="G124" i="3"/>
  <c r="F124" i="3"/>
  <c r="H122" i="3"/>
  <c r="K122" i="3" s="1"/>
  <c r="K121" i="3" s="1"/>
  <c r="M121" i="3"/>
  <c r="J121" i="3"/>
  <c r="G121" i="3"/>
  <c r="F121" i="3"/>
  <c r="H120" i="3"/>
  <c r="M119" i="3"/>
  <c r="J119" i="3"/>
  <c r="G119" i="3"/>
  <c r="F119" i="3"/>
  <c r="H117" i="3"/>
  <c r="K117" i="3" s="1"/>
  <c r="N117" i="3" s="1"/>
  <c r="M116" i="3"/>
  <c r="J116" i="3"/>
  <c r="G116" i="3"/>
  <c r="F116" i="3"/>
  <c r="H115" i="3"/>
  <c r="K115" i="3" s="1"/>
  <c r="N115" i="3" s="1"/>
  <c r="Q115" i="3" s="1"/>
  <c r="T115" i="3" s="1"/>
  <c r="G114" i="3"/>
  <c r="H114" i="3" s="1"/>
  <c r="K114" i="3" s="1"/>
  <c r="N114" i="3" s="1"/>
  <c r="J113" i="3"/>
  <c r="J111" i="3" s="1"/>
  <c r="G113" i="3"/>
  <c r="H112" i="3"/>
  <c r="K112" i="3" s="1"/>
  <c r="M111" i="3"/>
  <c r="F111" i="3"/>
  <c r="H109" i="3"/>
  <c r="K109" i="3" s="1"/>
  <c r="N109" i="3" s="1"/>
  <c r="Q109" i="3" s="1"/>
  <c r="T109" i="3" s="1"/>
  <c r="H108" i="3"/>
  <c r="K108" i="3" s="1"/>
  <c r="M107" i="3"/>
  <c r="J107" i="3"/>
  <c r="G107" i="3"/>
  <c r="F107" i="3"/>
  <c r="H106" i="3"/>
  <c r="K106" i="3" s="1"/>
  <c r="M105" i="3"/>
  <c r="J105" i="3"/>
  <c r="G105" i="3"/>
  <c r="F105" i="3"/>
  <c r="H104" i="3"/>
  <c r="K104" i="3" s="1"/>
  <c r="M103" i="3"/>
  <c r="J103" i="3"/>
  <c r="G103" i="3"/>
  <c r="F103" i="3"/>
  <c r="H102" i="3"/>
  <c r="K102" i="3" s="1"/>
  <c r="M101" i="3"/>
  <c r="J101" i="3"/>
  <c r="G101" i="3"/>
  <c r="F101" i="3"/>
  <c r="H100" i="3"/>
  <c r="K100" i="3" s="1"/>
  <c r="M99" i="3"/>
  <c r="J99" i="3"/>
  <c r="G99" i="3"/>
  <c r="F99" i="3"/>
  <c r="H98" i="3"/>
  <c r="K98" i="3" s="1"/>
  <c r="N98" i="3" s="1"/>
  <c r="Q98" i="3" s="1"/>
  <c r="T98" i="3" s="1"/>
  <c r="H97" i="3"/>
  <c r="K97" i="3" s="1"/>
  <c r="N97" i="3" s="1"/>
  <c r="Q97" i="3" s="1"/>
  <c r="T97" i="3" s="1"/>
  <c r="J96" i="3"/>
  <c r="J95" i="3" s="1"/>
  <c r="G96" i="3"/>
  <c r="H96" i="3" s="1"/>
  <c r="M95" i="3"/>
  <c r="F95" i="3"/>
  <c r="N94" i="3"/>
  <c r="Q94" i="3" s="1"/>
  <c r="T94" i="3" s="1"/>
  <c r="H93" i="3"/>
  <c r="K93" i="3" s="1"/>
  <c r="N93" i="3" s="1"/>
  <c r="Q93" i="3" s="1"/>
  <c r="T93" i="3" s="1"/>
  <c r="J92" i="3"/>
  <c r="J91" i="3" s="1"/>
  <c r="H92" i="3"/>
  <c r="M91" i="3"/>
  <c r="G91" i="3"/>
  <c r="F91" i="3"/>
  <c r="M89" i="3"/>
  <c r="M88" i="3" s="1"/>
  <c r="H89" i="3"/>
  <c r="J88" i="3"/>
  <c r="G88" i="3"/>
  <c r="F88" i="3"/>
  <c r="G87" i="3"/>
  <c r="H87" i="3" s="1"/>
  <c r="K87" i="3" s="1"/>
  <c r="K86" i="3" s="1"/>
  <c r="M86" i="3"/>
  <c r="J86" i="3"/>
  <c r="F86" i="3"/>
  <c r="M85" i="3"/>
  <c r="H85" i="3"/>
  <c r="K85" i="3" s="1"/>
  <c r="M84" i="3"/>
  <c r="J84" i="3"/>
  <c r="J83" i="3" s="1"/>
  <c r="H84" i="3"/>
  <c r="G83" i="3"/>
  <c r="F83" i="3"/>
  <c r="M81" i="3"/>
  <c r="M78" i="3" s="1"/>
  <c r="H81" i="3"/>
  <c r="K81" i="3" s="1"/>
  <c r="H80" i="3"/>
  <c r="K80" i="3" s="1"/>
  <c r="N80" i="3" s="1"/>
  <c r="Q80" i="3" s="1"/>
  <c r="T80" i="3" s="1"/>
  <c r="H79" i="3"/>
  <c r="K79" i="3" s="1"/>
  <c r="J78" i="3"/>
  <c r="G78" i="3"/>
  <c r="F78" i="3"/>
  <c r="J77" i="3"/>
  <c r="J76" i="3" s="1"/>
  <c r="H77" i="3"/>
  <c r="H76" i="3" s="1"/>
  <c r="M76" i="3"/>
  <c r="G76" i="3"/>
  <c r="F76" i="3"/>
  <c r="M75" i="3"/>
  <c r="N75" i="3" s="1"/>
  <c r="Q75" i="3" s="1"/>
  <c r="T75" i="3" s="1"/>
  <c r="H75" i="3"/>
  <c r="J73" i="3"/>
  <c r="H73" i="3"/>
  <c r="M72" i="3"/>
  <c r="M71" i="3" s="1"/>
  <c r="J72" i="3"/>
  <c r="G72" i="3"/>
  <c r="H72" i="3" s="1"/>
  <c r="H70" i="3"/>
  <c r="K70" i="3" s="1"/>
  <c r="N70" i="3" s="1"/>
  <c r="Q70" i="3" s="1"/>
  <c r="T70" i="3" s="1"/>
  <c r="H69" i="3"/>
  <c r="M68" i="3"/>
  <c r="J68" i="3"/>
  <c r="G68" i="3"/>
  <c r="F68" i="3"/>
  <c r="H67" i="3"/>
  <c r="K67" i="3" s="1"/>
  <c r="K66" i="3" s="1"/>
  <c r="J66" i="3"/>
  <c r="G66" i="3"/>
  <c r="F66" i="3"/>
  <c r="H64" i="3"/>
  <c r="K64" i="3" s="1"/>
  <c r="N64" i="3" s="1"/>
  <c r="Q64" i="3" s="1"/>
  <c r="T64" i="3" s="1"/>
  <c r="H63" i="3"/>
  <c r="K63" i="3" s="1"/>
  <c r="N63" i="3" s="1"/>
  <c r="Q63" i="3" s="1"/>
  <c r="T63" i="3" s="1"/>
  <c r="H62" i="3"/>
  <c r="K62" i="3" s="1"/>
  <c r="M61" i="3"/>
  <c r="J61" i="3"/>
  <c r="G61" i="3"/>
  <c r="F61" i="3"/>
  <c r="J60" i="3"/>
  <c r="H60" i="3"/>
  <c r="G59" i="3"/>
  <c r="H59" i="3" s="1"/>
  <c r="K59" i="3" s="1"/>
  <c r="N59" i="3" s="1"/>
  <c r="T59" i="3" s="1"/>
  <c r="M57" i="3"/>
  <c r="J58" i="3"/>
  <c r="H58" i="3"/>
  <c r="G57" i="3"/>
  <c r="H56" i="3"/>
  <c r="K56" i="3" s="1"/>
  <c r="N56" i="3" s="1"/>
  <c r="Q56" i="3" s="1"/>
  <c r="T56" i="3" s="1"/>
  <c r="H55" i="3"/>
  <c r="H54" i="3"/>
  <c r="K54" i="3" s="1"/>
  <c r="N54" i="3" s="1"/>
  <c r="Q54" i="3" s="1"/>
  <c r="T54" i="3" s="1"/>
  <c r="H53" i="3"/>
  <c r="K53" i="3" s="1"/>
  <c r="N53" i="3" s="1"/>
  <c r="Q53" i="3" s="1"/>
  <c r="T53" i="3" s="1"/>
  <c r="M52" i="3"/>
  <c r="J52" i="3"/>
  <c r="G52" i="3"/>
  <c r="F52" i="3"/>
  <c r="F51" i="3" s="1"/>
  <c r="H50" i="3"/>
  <c r="K50" i="3" s="1"/>
  <c r="N50" i="3" s="1"/>
  <c r="Q50" i="3" s="1"/>
  <c r="T50" i="3" s="1"/>
  <c r="H49" i="3"/>
  <c r="K49" i="3" s="1"/>
  <c r="M48" i="3"/>
  <c r="J48" i="3"/>
  <c r="G48" i="3"/>
  <c r="F48" i="3"/>
  <c r="H47" i="3"/>
  <c r="K47" i="3" s="1"/>
  <c r="M46" i="3"/>
  <c r="J46" i="3"/>
  <c r="G46" i="3"/>
  <c r="F46" i="3"/>
  <c r="J45" i="3"/>
  <c r="J44" i="3" s="1"/>
  <c r="H45" i="3"/>
  <c r="H44" i="3" s="1"/>
  <c r="M44" i="3"/>
  <c r="G44" i="3"/>
  <c r="F44" i="3"/>
  <c r="H43" i="3"/>
  <c r="K43" i="3" s="1"/>
  <c r="N43" i="3" s="1"/>
  <c r="Q43" i="3" s="1"/>
  <c r="T43" i="3" s="1"/>
  <c r="H42" i="3"/>
  <c r="K42" i="3" s="1"/>
  <c r="H41" i="3"/>
  <c r="K41" i="3" s="1"/>
  <c r="N41" i="3" s="1"/>
  <c r="Q41" i="3" s="1"/>
  <c r="T41" i="3" s="1"/>
  <c r="M40" i="3"/>
  <c r="J40" i="3"/>
  <c r="G40" i="3"/>
  <c r="F40" i="3"/>
  <c r="J39" i="3"/>
  <c r="H39" i="3"/>
  <c r="M38" i="3"/>
  <c r="G38" i="3"/>
  <c r="H38" i="3" s="1"/>
  <c r="K38" i="3" s="1"/>
  <c r="M37" i="3"/>
  <c r="J37" i="3"/>
  <c r="G37" i="3"/>
  <c r="F36" i="3"/>
  <c r="H34" i="3"/>
  <c r="H33" i="3" s="1"/>
  <c r="M33" i="3"/>
  <c r="J33" i="3"/>
  <c r="G33" i="3"/>
  <c r="F33" i="3"/>
  <c r="H32" i="3"/>
  <c r="K32" i="3" s="1"/>
  <c r="M31" i="3"/>
  <c r="J31" i="3"/>
  <c r="G31" i="3"/>
  <c r="F31" i="3"/>
  <c r="H28" i="3"/>
  <c r="K28" i="3" s="1"/>
  <c r="J27" i="3"/>
  <c r="G27" i="3"/>
  <c r="F27" i="3"/>
  <c r="H26" i="3"/>
  <c r="K26" i="3" s="1"/>
  <c r="N26" i="3" s="1"/>
  <c r="Q26" i="3" s="1"/>
  <c r="T26" i="3" s="1"/>
  <c r="H25" i="3"/>
  <c r="K25" i="3" s="1"/>
  <c r="N25" i="3" s="1"/>
  <c r="Q25" i="3" s="1"/>
  <c r="T25" i="3" s="1"/>
  <c r="H24" i="3"/>
  <c r="K24" i="3" s="1"/>
  <c r="N24" i="3" s="1"/>
  <c r="Q24" i="3" s="1"/>
  <c r="T24" i="3" s="1"/>
  <c r="H23" i="3"/>
  <c r="K23" i="3" s="1"/>
  <c r="N23" i="3" s="1"/>
  <c r="Q23" i="3" s="1"/>
  <c r="T23" i="3" s="1"/>
  <c r="H22" i="3"/>
  <c r="K22" i="3" s="1"/>
  <c r="N22" i="3" s="1"/>
  <c r="Q22" i="3" s="1"/>
  <c r="T22" i="3" s="1"/>
  <c r="H21" i="3"/>
  <c r="K21" i="3" s="1"/>
  <c r="N21" i="3" s="1"/>
  <c r="Q21" i="3" s="1"/>
  <c r="T21" i="3" s="1"/>
  <c r="M20" i="3"/>
  <c r="J20" i="3"/>
  <c r="F20" i="3"/>
  <c r="H19" i="3"/>
  <c r="K19" i="3" s="1"/>
  <c r="N19" i="3" s="1"/>
  <c r="Q19" i="3" s="1"/>
  <c r="T19" i="3" s="1"/>
  <c r="H18" i="3"/>
  <c r="K18" i="3" s="1"/>
  <c r="N18" i="3" s="1"/>
  <c r="Q18" i="3" s="1"/>
  <c r="T18" i="3" s="1"/>
  <c r="H17" i="3"/>
  <c r="K17" i="3" s="1"/>
  <c r="N17" i="3" s="1"/>
  <c r="Q17" i="3" s="1"/>
  <c r="T17" i="3" s="1"/>
  <c r="H16" i="3"/>
  <c r="K16" i="3" s="1"/>
  <c r="M15" i="3"/>
  <c r="J15" i="3"/>
  <c r="G15" i="3"/>
  <c r="F15" i="3"/>
  <c r="H14" i="3"/>
  <c r="K14" i="3" s="1"/>
  <c r="N14" i="3" s="1"/>
  <c r="Q14" i="3" s="1"/>
  <c r="T14" i="3" s="1"/>
  <c r="H13" i="3"/>
  <c r="M12" i="3"/>
  <c r="J12" i="3"/>
  <c r="G12" i="3"/>
  <c r="F12" i="3"/>
  <c r="H11" i="3"/>
  <c r="K11" i="3" s="1"/>
  <c r="M10" i="3"/>
  <c r="J10" i="3"/>
  <c r="G10" i="3"/>
  <c r="F10" i="3"/>
  <c r="H9" i="3"/>
  <c r="H8" i="3" s="1"/>
  <c r="M8" i="3"/>
  <c r="J8" i="3"/>
  <c r="G8" i="3"/>
  <c r="F8" i="3"/>
  <c r="Q114" i="3" l="1"/>
  <c r="T114" i="3" s="1"/>
  <c r="T20" i="3"/>
  <c r="J36" i="3"/>
  <c r="J35" i="3" s="1"/>
  <c r="M83" i="3"/>
  <c r="M82" i="3" s="1"/>
  <c r="G144" i="3"/>
  <c r="G143" i="3" s="1"/>
  <c r="T124" i="3"/>
  <c r="K73" i="3"/>
  <c r="N73" i="3" s="1"/>
  <c r="Q73" i="3" s="1"/>
  <c r="T73" i="3" s="1"/>
  <c r="J71" i="3"/>
  <c r="J65" i="3" s="1"/>
  <c r="G158" i="3"/>
  <c r="K84" i="3"/>
  <c r="N84" i="3" s="1"/>
  <c r="Q84" i="3" s="1"/>
  <c r="T84" i="3" s="1"/>
  <c r="N137" i="3"/>
  <c r="Q137" i="3" s="1"/>
  <c r="T137" i="3" s="1"/>
  <c r="M36" i="3"/>
  <c r="M35" i="3" s="1"/>
  <c r="N38" i="3"/>
  <c r="K165" i="3"/>
  <c r="N165" i="3" s="1"/>
  <c r="Q165" i="3" s="1"/>
  <c r="T165" i="3" s="1"/>
  <c r="G95" i="3"/>
  <c r="G90" i="3" s="1"/>
  <c r="G155" i="3"/>
  <c r="J161" i="3"/>
  <c r="K39" i="3"/>
  <c r="N39" i="3" s="1"/>
  <c r="Q39" i="3" s="1"/>
  <c r="T39" i="3" s="1"/>
  <c r="J57" i="3"/>
  <c r="K166" i="3"/>
  <c r="N166" i="3" s="1"/>
  <c r="Q166" i="3" s="1"/>
  <c r="T166" i="3" s="1"/>
  <c r="G36" i="3"/>
  <c r="G35" i="3" s="1"/>
  <c r="G71" i="3"/>
  <c r="G65" i="3" s="1"/>
  <c r="N81" i="3"/>
  <c r="Q81" i="3" s="1"/>
  <c r="T81" i="3" s="1"/>
  <c r="N85" i="3"/>
  <c r="Q85" i="3" s="1"/>
  <c r="T85" i="3" s="1"/>
  <c r="K92" i="3"/>
  <c r="K91" i="3" s="1"/>
  <c r="K133" i="3"/>
  <c r="K132" i="3" s="1"/>
  <c r="H132" i="3"/>
  <c r="F143" i="3"/>
  <c r="N116" i="3"/>
  <c r="Q117" i="3"/>
  <c r="T117" i="3" s="1"/>
  <c r="T116" i="3" s="1"/>
  <c r="N139" i="3"/>
  <c r="Q140" i="3"/>
  <c r="T140" i="3" s="1"/>
  <c r="T139" i="3" s="1"/>
  <c r="H83" i="3"/>
  <c r="Q20" i="3"/>
  <c r="Q124" i="3"/>
  <c r="K34" i="3"/>
  <c r="N34" i="3" s="1"/>
  <c r="M30" i="3"/>
  <c r="H99" i="3"/>
  <c r="H139" i="3"/>
  <c r="H158" i="3"/>
  <c r="M7" i="3"/>
  <c r="F118" i="3"/>
  <c r="G7" i="3"/>
  <c r="H105" i="3"/>
  <c r="N20" i="3"/>
  <c r="J7" i="3"/>
  <c r="K77" i="3"/>
  <c r="H101" i="3"/>
  <c r="M110" i="3"/>
  <c r="J118" i="3"/>
  <c r="G118" i="3"/>
  <c r="K139" i="3"/>
  <c r="F7" i="3"/>
  <c r="G30" i="3"/>
  <c r="H46" i="3"/>
  <c r="H107" i="3"/>
  <c r="H116" i="3"/>
  <c r="H121" i="3"/>
  <c r="F123" i="3"/>
  <c r="K46" i="3"/>
  <c r="N47" i="3"/>
  <c r="N106" i="3"/>
  <c r="K105" i="3"/>
  <c r="N102" i="3"/>
  <c r="K101" i="3"/>
  <c r="M123" i="3"/>
  <c r="M143" i="3"/>
  <c r="F154" i="3"/>
  <c r="H86" i="3"/>
  <c r="K9" i="3"/>
  <c r="N9" i="3" s="1"/>
  <c r="Q9" i="3" s="1"/>
  <c r="T9" i="3" s="1"/>
  <c r="T8" i="3" s="1"/>
  <c r="H31" i="3"/>
  <c r="H30" i="3" s="1"/>
  <c r="F30" i="3"/>
  <c r="H40" i="3"/>
  <c r="K61" i="3"/>
  <c r="J82" i="3"/>
  <c r="H91" i="3"/>
  <c r="H103" i="3"/>
  <c r="G123" i="3"/>
  <c r="H155" i="3"/>
  <c r="J154" i="3"/>
  <c r="H10" i="3"/>
  <c r="H20" i="3"/>
  <c r="F35" i="3"/>
  <c r="N87" i="3"/>
  <c r="H12" i="3"/>
  <c r="K13" i="3"/>
  <c r="J30" i="3"/>
  <c r="K58" i="3"/>
  <c r="N58" i="3" s="1"/>
  <c r="H61" i="3"/>
  <c r="H78" i="3"/>
  <c r="F82" i="3"/>
  <c r="J90" i="3"/>
  <c r="J110" i="3"/>
  <c r="F110" i="3"/>
  <c r="M118" i="3"/>
  <c r="J123" i="3"/>
  <c r="G51" i="3"/>
  <c r="M51" i="3"/>
  <c r="J51" i="3"/>
  <c r="H124" i="3"/>
  <c r="M90" i="3"/>
  <c r="F90" i="3"/>
  <c r="K159" i="3"/>
  <c r="K158" i="3" s="1"/>
  <c r="M65" i="3"/>
  <c r="H66" i="3"/>
  <c r="N67" i="3"/>
  <c r="K10" i="3"/>
  <c r="N11" i="3"/>
  <c r="N42" i="3"/>
  <c r="K40" i="3"/>
  <c r="N16" i="3"/>
  <c r="K15" i="3"/>
  <c r="N28" i="3"/>
  <c r="K27" i="3"/>
  <c r="K31" i="3"/>
  <c r="N32" i="3"/>
  <c r="N49" i="3"/>
  <c r="K48" i="3"/>
  <c r="K55" i="3"/>
  <c r="N55" i="3" s="1"/>
  <c r="H52" i="3"/>
  <c r="H51" i="3" s="1"/>
  <c r="H15" i="3"/>
  <c r="H27" i="3"/>
  <c r="H48" i="3"/>
  <c r="K96" i="3"/>
  <c r="H95" i="3"/>
  <c r="K99" i="3"/>
  <c r="N100" i="3"/>
  <c r="H113" i="3"/>
  <c r="G111" i="3"/>
  <c r="G110" i="3" s="1"/>
  <c r="K120" i="3"/>
  <c r="H119" i="3"/>
  <c r="K124" i="3"/>
  <c r="K136" i="3"/>
  <c r="H135" i="3"/>
  <c r="K20" i="3"/>
  <c r="K69" i="3"/>
  <c r="H68" i="3"/>
  <c r="N157" i="3"/>
  <c r="Q157" i="3" s="1"/>
  <c r="T157" i="3" s="1"/>
  <c r="K155" i="3"/>
  <c r="G20" i="3"/>
  <c r="H37" i="3"/>
  <c r="K45" i="3"/>
  <c r="K60" i="3"/>
  <c r="N60" i="3" s="1"/>
  <c r="Q60" i="3" s="1"/>
  <c r="T60" i="3" s="1"/>
  <c r="N62" i="3"/>
  <c r="Q62" i="3" s="1"/>
  <c r="T62" i="3" s="1"/>
  <c r="T61" i="3" s="1"/>
  <c r="K72" i="3"/>
  <c r="H71" i="3"/>
  <c r="K78" i="3"/>
  <c r="N79" i="3"/>
  <c r="K89" i="3"/>
  <c r="H88" i="3"/>
  <c r="K107" i="3"/>
  <c r="N108" i="3"/>
  <c r="K116" i="3"/>
  <c r="K142" i="3"/>
  <c r="H141" i="3"/>
  <c r="K149" i="3"/>
  <c r="J148" i="3"/>
  <c r="J143" i="3" s="1"/>
  <c r="K153" i="3"/>
  <c r="N153" i="3" s="1"/>
  <c r="H150" i="3"/>
  <c r="N156" i="3"/>
  <c r="Q156" i="3" s="1"/>
  <c r="T156" i="3" s="1"/>
  <c r="M155" i="3"/>
  <c r="M154" i="3" s="1"/>
  <c r="H144" i="3"/>
  <c r="K146" i="3"/>
  <c r="K103" i="3"/>
  <c r="N104" i="3"/>
  <c r="N112" i="3"/>
  <c r="Q112" i="3" s="1"/>
  <c r="T112" i="3" s="1"/>
  <c r="N122" i="3"/>
  <c r="N124" i="3"/>
  <c r="F71" i="3"/>
  <c r="F65" i="3" s="1"/>
  <c r="G86" i="3"/>
  <c r="G82" i="3" s="1"/>
  <c r="H161" i="3"/>
  <c r="M124" i="2"/>
  <c r="Q38" i="3" l="1"/>
  <c r="T38" i="3" s="1"/>
  <c r="T155" i="3"/>
  <c r="T161" i="3"/>
  <c r="G154" i="3"/>
  <c r="T83" i="3"/>
  <c r="N133" i="3"/>
  <c r="N132" i="3" s="1"/>
  <c r="K83" i="3"/>
  <c r="K161" i="3"/>
  <c r="Q139" i="3"/>
  <c r="Q155" i="3"/>
  <c r="N161" i="3"/>
  <c r="Q161" i="3"/>
  <c r="Q116" i="3"/>
  <c r="K76" i="3"/>
  <c r="N77" i="3"/>
  <c r="Q77" i="3" s="1"/>
  <c r="N92" i="3"/>
  <c r="N91" i="3" s="1"/>
  <c r="T58" i="3"/>
  <c r="T57" i="3" s="1"/>
  <c r="H154" i="3"/>
  <c r="K33" i="3"/>
  <c r="K30" i="3" s="1"/>
  <c r="H7" i="3"/>
  <c r="N121" i="3"/>
  <c r="Q122" i="3"/>
  <c r="T122" i="3" s="1"/>
  <c r="T121" i="3" s="1"/>
  <c r="N150" i="3"/>
  <c r="Q153" i="3"/>
  <c r="T153" i="3" s="1"/>
  <c r="T150" i="3" s="1"/>
  <c r="N78" i="3"/>
  <c r="Q79" i="3"/>
  <c r="T79" i="3" s="1"/>
  <c r="T78" i="3" s="1"/>
  <c r="N61" i="3"/>
  <c r="Q61" i="3"/>
  <c r="N101" i="3"/>
  <c r="Q102" i="3"/>
  <c r="T102" i="3" s="1"/>
  <c r="T101" i="3" s="1"/>
  <c r="N52" i="3"/>
  <c r="Q55" i="3"/>
  <c r="T55" i="3" s="1"/>
  <c r="T52" i="3" s="1"/>
  <c r="N99" i="3"/>
  <c r="Q100" i="3"/>
  <c r="T100" i="3" s="1"/>
  <c r="T99" i="3" s="1"/>
  <c r="N48" i="3"/>
  <c r="Q49" i="3"/>
  <c r="T49" i="3" s="1"/>
  <c r="T48" i="3" s="1"/>
  <c r="N27" i="3"/>
  <c r="Q28" i="3"/>
  <c r="T28" i="3" s="1"/>
  <c r="T27" i="3" s="1"/>
  <c r="N40" i="3"/>
  <c r="Q42" i="3"/>
  <c r="T42" i="3" s="1"/>
  <c r="T40" i="3" s="1"/>
  <c r="N66" i="3"/>
  <c r="Q67" i="3"/>
  <c r="T67" i="3" s="1"/>
  <c r="T66" i="3" s="1"/>
  <c r="N8" i="3"/>
  <c r="Q8" i="3"/>
  <c r="N15" i="3"/>
  <c r="Q16" i="3"/>
  <c r="N46" i="3"/>
  <c r="Q47" i="3"/>
  <c r="T47" i="3" s="1"/>
  <c r="T46" i="3" s="1"/>
  <c r="N103" i="3"/>
  <c r="Q104" i="3"/>
  <c r="T104" i="3" s="1"/>
  <c r="T103" i="3" s="1"/>
  <c r="N107" i="3"/>
  <c r="Q108" i="3"/>
  <c r="T108" i="3" s="1"/>
  <c r="T107" i="3" s="1"/>
  <c r="N83" i="3"/>
  <c r="Q83" i="3"/>
  <c r="N31" i="3"/>
  <c r="Q32" i="3"/>
  <c r="T32" i="3" s="1"/>
  <c r="T31" i="3" s="1"/>
  <c r="N10" i="3"/>
  <c r="Q11" i="3"/>
  <c r="T11" i="3" s="1"/>
  <c r="T10" i="3" s="1"/>
  <c r="N86" i="3"/>
  <c r="Q87" i="3"/>
  <c r="T87" i="3" s="1"/>
  <c r="T86" i="3" s="1"/>
  <c r="N105" i="3"/>
  <c r="Q106" i="3"/>
  <c r="T106" i="3" s="1"/>
  <c r="T105" i="3" s="1"/>
  <c r="N33" i="3"/>
  <c r="Q34" i="3"/>
  <c r="T34" i="3" s="1"/>
  <c r="T33" i="3" s="1"/>
  <c r="M168" i="3"/>
  <c r="H143" i="3"/>
  <c r="N57" i="3"/>
  <c r="H65" i="3"/>
  <c r="K8" i="3"/>
  <c r="H90" i="3"/>
  <c r="J168" i="3"/>
  <c r="H82" i="3"/>
  <c r="H123" i="3"/>
  <c r="N159" i="3"/>
  <c r="H118" i="3"/>
  <c r="N13" i="3"/>
  <c r="K12" i="3"/>
  <c r="G168" i="3"/>
  <c r="F168" i="3"/>
  <c r="K154" i="3"/>
  <c r="K144" i="3"/>
  <c r="N146" i="3"/>
  <c r="K88" i="3"/>
  <c r="K82" i="3" s="1"/>
  <c r="N89" i="3"/>
  <c r="K141" i="3"/>
  <c r="N142" i="3"/>
  <c r="K52" i="3"/>
  <c r="K113" i="3"/>
  <c r="H111" i="3"/>
  <c r="H110" i="3" s="1"/>
  <c r="N96" i="3"/>
  <c r="K95" i="3"/>
  <c r="N155" i="3"/>
  <c r="K37" i="3"/>
  <c r="H36" i="3"/>
  <c r="H35" i="3" s="1"/>
  <c r="K90" i="3"/>
  <c r="N45" i="3"/>
  <c r="K44" i="3"/>
  <c r="N149" i="3"/>
  <c r="K148" i="3"/>
  <c r="K150" i="3"/>
  <c r="N72" i="3"/>
  <c r="K71" i="3"/>
  <c r="K68" i="3"/>
  <c r="N69" i="3"/>
  <c r="K135" i="3"/>
  <c r="K123" i="3" s="1"/>
  <c r="N136" i="3"/>
  <c r="N120" i="3"/>
  <c r="K119" i="3"/>
  <c r="K118" i="3" s="1"/>
  <c r="M89" i="2"/>
  <c r="F89" i="2"/>
  <c r="N92" i="2"/>
  <c r="M71" i="2"/>
  <c r="M156" i="2"/>
  <c r="M91" i="2"/>
  <c r="M157" i="2"/>
  <c r="T16" i="3" l="1"/>
  <c r="T15" i="3" s="1"/>
  <c r="Q15" i="3"/>
  <c r="T77" i="3"/>
  <c r="T76" i="3" s="1"/>
  <c r="Q133" i="3"/>
  <c r="T133" i="3" s="1"/>
  <c r="T132" i="3" s="1"/>
  <c r="T30" i="3"/>
  <c r="T51" i="3"/>
  <c r="Q46" i="3"/>
  <c r="Q48" i="3"/>
  <c r="Q10" i="3"/>
  <c r="Q33" i="3"/>
  <c r="Q86" i="3"/>
  <c r="Q31" i="3"/>
  <c r="Q107" i="3"/>
  <c r="Q99" i="3"/>
  <c r="Q101" i="3"/>
  <c r="Q78" i="3"/>
  <c r="Q121" i="3"/>
  <c r="Q57" i="3"/>
  <c r="Q105" i="3"/>
  <c r="Q103" i="3"/>
  <c r="Q52" i="3"/>
  <c r="Q150" i="3"/>
  <c r="Q40" i="3"/>
  <c r="Q66" i="3"/>
  <c r="Q27" i="3"/>
  <c r="Q92" i="3"/>
  <c r="T92" i="3" s="1"/>
  <c r="T91" i="3" s="1"/>
  <c r="N51" i="3"/>
  <c r="K7" i="3"/>
  <c r="N68" i="3"/>
  <c r="Q69" i="3"/>
  <c r="T69" i="3" s="1"/>
  <c r="T68" i="3" s="1"/>
  <c r="N44" i="3"/>
  <c r="Q45" i="3"/>
  <c r="T45" i="3" s="1"/>
  <c r="T44" i="3" s="1"/>
  <c r="N88" i="3"/>
  <c r="N82" i="3" s="1"/>
  <c r="Q89" i="3"/>
  <c r="T89" i="3" s="1"/>
  <c r="T88" i="3" s="1"/>
  <c r="T82" i="3" s="1"/>
  <c r="N12" i="3"/>
  <c r="N7" i="3" s="1"/>
  <c r="Q13" i="3"/>
  <c r="T13" i="3" s="1"/>
  <c r="T12" i="3" s="1"/>
  <c r="T7" i="3" s="1"/>
  <c r="N76" i="3"/>
  <c r="Q76" i="3"/>
  <c r="N71" i="3"/>
  <c r="Q72" i="3"/>
  <c r="T72" i="3" s="1"/>
  <c r="T71" i="3" s="1"/>
  <c r="N158" i="3"/>
  <c r="N154" i="3" s="1"/>
  <c r="Q159" i="3"/>
  <c r="T159" i="3" s="1"/>
  <c r="T158" i="3" s="1"/>
  <c r="T154" i="3" s="1"/>
  <c r="N30" i="3"/>
  <c r="N119" i="3"/>
  <c r="N118" i="3" s="1"/>
  <c r="Q120" i="3"/>
  <c r="T120" i="3" s="1"/>
  <c r="T119" i="3" s="1"/>
  <c r="T118" i="3" s="1"/>
  <c r="N135" i="3"/>
  <c r="N123" i="3" s="1"/>
  <c r="Q136" i="3"/>
  <c r="T136" i="3" s="1"/>
  <c r="T135" i="3" s="1"/>
  <c r="N148" i="3"/>
  <c r="Q149" i="3"/>
  <c r="T149" i="3" s="1"/>
  <c r="T148" i="3" s="1"/>
  <c r="N95" i="3"/>
  <c r="N90" i="3" s="1"/>
  <c r="Q96" i="3"/>
  <c r="T96" i="3" s="1"/>
  <c r="T95" i="3" s="1"/>
  <c r="N141" i="3"/>
  <c r="Q142" i="3"/>
  <c r="T142" i="3" s="1"/>
  <c r="T141" i="3" s="1"/>
  <c r="N144" i="3"/>
  <c r="Q146" i="3"/>
  <c r="T146" i="3" s="1"/>
  <c r="T144" i="3" s="1"/>
  <c r="K51" i="3"/>
  <c r="H168" i="3"/>
  <c r="K65" i="3"/>
  <c r="N37" i="3"/>
  <c r="K36" i="3"/>
  <c r="K35" i="3" s="1"/>
  <c r="K143" i="3"/>
  <c r="N113" i="3"/>
  <c r="Q113" i="3" s="1"/>
  <c r="K111" i="3"/>
  <c r="K110" i="3" s="1"/>
  <c r="M37" i="2"/>
  <c r="M41" i="2"/>
  <c r="T143" i="3" l="1"/>
  <c r="Q132" i="3"/>
  <c r="T90" i="3"/>
  <c r="T123" i="3"/>
  <c r="T65" i="3"/>
  <c r="Q51" i="3"/>
  <c r="Q148" i="3"/>
  <c r="Q71" i="3"/>
  <c r="Q44" i="3"/>
  <c r="Q144" i="3"/>
  <c r="Q95" i="3"/>
  <c r="Q135" i="3"/>
  <c r="Q123" i="3" s="1"/>
  <c r="Q141" i="3"/>
  <c r="Q119" i="3"/>
  <c r="Q118" i="3" s="1"/>
  <c r="Q91" i="3"/>
  <c r="Q12" i="3"/>
  <c r="Q7" i="3" s="1"/>
  <c r="Q30" i="3"/>
  <c r="Q158" i="3"/>
  <c r="Q154" i="3" s="1"/>
  <c r="Q88" i="3"/>
  <c r="Q82" i="3" s="1"/>
  <c r="Q68" i="3"/>
  <c r="N143" i="3"/>
  <c r="N65" i="3"/>
  <c r="N36" i="3"/>
  <c r="N35" i="3" s="1"/>
  <c r="Q37" i="3"/>
  <c r="N111" i="3"/>
  <c r="N110" i="3" s="1"/>
  <c r="T113" i="3"/>
  <c r="T111" i="3" s="1"/>
  <c r="T110" i="3" s="1"/>
  <c r="K168" i="3"/>
  <c r="M66" i="2"/>
  <c r="T37" i="3" l="1"/>
  <c r="T36" i="3" s="1"/>
  <c r="Q36" i="3"/>
  <c r="Q35" i="3" s="1"/>
  <c r="Q143" i="3"/>
  <c r="Q65" i="3"/>
  <c r="Q90" i="3"/>
  <c r="Q111" i="3"/>
  <c r="Q110" i="3" s="1"/>
  <c r="N168" i="3"/>
  <c r="M162" i="2"/>
  <c r="T35" i="3" l="1"/>
  <c r="T168" i="3" s="1"/>
  <c r="Q168" i="3"/>
  <c r="M131" i="2"/>
  <c r="S168" i="3" l="1"/>
  <c r="M158" i="2"/>
  <c r="M94" i="2" l="1"/>
  <c r="M82" i="2"/>
  <c r="M83" i="2"/>
  <c r="M87" i="2" l="1"/>
  <c r="M153" i="2"/>
  <c r="I152" i="2"/>
  <c r="J152" i="2"/>
  <c r="L152" i="2"/>
  <c r="F152" i="2"/>
  <c r="K153" i="2"/>
  <c r="N153" i="2" s="1"/>
  <c r="J38" i="2" l="1"/>
  <c r="J36" i="2"/>
  <c r="M36" i="2"/>
  <c r="M68" i="2" l="1"/>
  <c r="M79" i="2" l="1"/>
  <c r="M57" i="2" l="1"/>
  <c r="M134" i="2" l="1"/>
  <c r="M73" i="2" l="1"/>
  <c r="N73" i="2"/>
  <c r="H73" i="2"/>
  <c r="M154" i="2"/>
  <c r="M152" i="2" s="1"/>
  <c r="M70" i="2" l="1"/>
  <c r="M155" i="2" l="1"/>
  <c r="M147" i="2"/>
  <c r="M145" i="2"/>
  <c r="M141" i="2"/>
  <c r="M138" i="2"/>
  <c r="M136" i="2"/>
  <c r="M132" i="2"/>
  <c r="M130" i="2"/>
  <c r="M122" i="2"/>
  <c r="M119" i="2"/>
  <c r="M117" i="2"/>
  <c r="M114" i="2"/>
  <c r="M105" i="2"/>
  <c r="M103" i="2"/>
  <c r="M101" i="2"/>
  <c r="M99" i="2"/>
  <c r="M97" i="2"/>
  <c r="M93" i="2"/>
  <c r="M86" i="2"/>
  <c r="M84" i="2"/>
  <c r="M81" i="2"/>
  <c r="M76" i="2"/>
  <c r="M74" i="2"/>
  <c r="M67" i="2"/>
  <c r="M65" i="2"/>
  <c r="M60" i="2"/>
  <c r="M56" i="2"/>
  <c r="M51" i="2"/>
  <c r="M47" i="2"/>
  <c r="M45" i="2"/>
  <c r="M43" i="2"/>
  <c r="M39" i="2"/>
  <c r="M35" i="2"/>
  <c r="M32" i="2"/>
  <c r="M30" i="2"/>
  <c r="M27" i="2"/>
  <c r="M20" i="2"/>
  <c r="M15" i="2"/>
  <c r="M12" i="2"/>
  <c r="M10" i="2"/>
  <c r="M8" i="2"/>
  <c r="M29" i="2" l="1"/>
  <c r="M116" i="2"/>
  <c r="M34" i="2"/>
  <c r="M121" i="2"/>
  <c r="M140" i="2"/>
  <c r="M7" i="2"/>
  <c r="M80" i="2"/>
  <c r="M151" i="2"/>
  <c r="M64" i="2"/>
  <c r="M88" i="2"/>
  <c r="M50" i="2"/>
  <c r="M109" i="2"/>
  <c r="M108" i="2" s="1"/>
  <c r="J59" i="2"/>
  <c r="H59" i="2"/>
  <c r="M165" i="2" l="1"/>
  <c r="K59" i="2"/>
  <c r="N59" i="2" s="1"/>
  <c r="H26" i="2"/>
  <c r="K26" i="2" s="1"/>
  <c r="N26" i="2" s="1"/>
  <c r="H25" i="2"/>
  <c r="K25" i="2" s="1"/>
  <c r="N25" i="2" s="1"/>
  <c r="J20" i="2"/>
  <c r="F20" i="2"/>
  <c r="J57" i="2" l="1"/>
  <c r="J56" i="2" s="1"/>
  <c r="J162" i="2" l="1"/>
  <c r="J75" i="2" l="1"/>
  <c r="J163" i="2"/>
  <c r="J139" i="2"/>
  <c r="J90" i="2"/>
  <c r="J111" i="2"/>
  <c r="J94" i="2"/>
  <c r="J72" i="2" l="1"/>
  <c r="J71" i="2" l="1"/>
  <c r="J82" i="2" l="1"/>
  <c r="J146" i="2"/>
  <c r="J44" i="2" l="1"/>
  <c r="J133" i="2" l="1"/>
  <c r="G36" i="2"/>
  <c r="J158" i="2"/>
  <c r="J147" i="2"/>
  <c r="J145" i="2"/>
  <c r="J141" i="2"/>
  <c r="J138" i="2"/>
  <c r="J136" i="2"/>
  <c r="J132" i="2"/>
  <c r="J130" i="2"/>
  <c r="J122" i="2"/>
  <c r="J119" i="2"/>
  <c r="J117" i="2"/>
  <c r="J114" i="2"/>
  <c r="J105" i="2"/>
  <c r="J103" i="2"/>
  <c r="J101" i="2"/>
  <c r="J99" i="2"/>
  <c r="J97" i="2"/>
  <c r="J93" i="2"/>
  <c r="J89" i="2"/>
  <c r="J86" i="2"/>
  <c r="J84" i="2"/>
  <c r="J81" i="2"/>
  <c r="J76" i="2"/>
  <c r="J74" i="2"/>
  <c r="J70" i="2"/>
  <c r="J67" i="2"/>
  <c r="J65" i="2"/>
  <c r="J60" i="2"/>
  <c r="J51" i="2"/>
  <c r="J47" i="2"/>
  <c r="J45" i="2"/>
  <c r="J43" i="2"/>
  <c r="J39" i="2"/>
  <c r="J35" i="2"/>
  <c r="J32" i="2"/>
  <c r="J30" i="2"/>
  <c r="J27" i="2"/>
  <c r="J15" i="2"/>
  <c r="J12" i="2"/>
  <c r="J10" i="2"/>
  <c r="J8" i="2"/>
  <c r="J155" i="2"/>
  <c r="J109" i="2"/>
  <c r="G94" i="2"/>
  <c r="H94" i="2" s="1"/>
  <c r="K94" i="2" s="1"/>
  <c r="N94" i="2" s="1"/>
  <c r="G85" i="2"/>
  <c r="H85" i="2" s="1"/>
  <c r="G71" i="2"/>
  <c r="F70" i="2" s="1"/>
  <c r="G156" i="2"/>
  <c r="G157" i="2"/>
  <c r="H157" i="2" s="1"/>
  <c r="K157" i="2" s="1"/>
  <c r="N157" i="2" s="1"/>
  <c r="G154" i="2"/>
  <c r="G152" i="2" s="1"/>
  <c r="H52" i="2"/>
  <c r="G51" i="2"/>
  <c r="F51" i="2"/>
  <c r="G124" i="2"/>
  <c r="H124" i="2" s="1"/>
  <c r="K124" i="2" s="1"/>
  <c r="N124" i="2" s="1"/>
  <c r="G74" i="2"/>
  <c r="F74" i="2"/>
  <c r="H75" i="2"/>
  <c r="K75" i="2" s="1"/>
  <c r="G58" i="2"/>
  <c r="G37" i="2"/>
  <c r="H37" i="2" s="1"/>
  <c r="K37" i="2" s="1"/>
  <c r="N37" i="2" s="1"/>
  <c r="G111" i="2"/>
  <c r="G112" i="2"/>
  <c r="H112" i="2" s="1"/>
  <c r="K112" i="2" s="1"/>
  <c r="N112" i="2" s="1"/>
  <c r="H160" i="2"/>
  <c r="K160" i="2" s="1"/>
  <c r="N160" i="2" s="1"/>
  <c r="H161" i="2"/>
  <c r="K161" i="2" s="1"/>
  <c r="N161" i="2" s="1"/>
  <c r="H162" i="2"/>
  <c r="K162" i="2" s="1"/>
  <c r="N162" i="2" s="1"/>
  <c r="H163" i="2"/>
  <c r="K163" i="2" s="1"/>
  <c r="N163" i="2" s="1"/>
  <c r="H164" i="2"/>
  <c r="K164" i="2" s="1"/>
  <c r="N164" i="2" s="1"/>
  <c r="H159" i="2"/>
  <c r="K159" i="2" s="1"/>
  <c r="N159" i="2" s="1"/>
  <c r="H149" i="2"/>
  <c r="K149" i="2" s="1"/>
  <c r="N149" i="2" s="1"/>
  <c r="H150" i="2"/>
  <c r="K150" i="2" s="1"/>
  <c r="N150" i="2" s="1"/>
  <c r="H148" i="2"/>
  <c r="K148" i="2" s="1"/>
  <c r="N148" i="2" s="1"/>
  <c r="H146" i="2"/>
  <c r="K146" i="2" s="1"/>
  <c r="H144" i="2"/>
  <c r="K144" i="2" s="1"/>
  <c r="N144" i="2" s="1"/>
  <c r="H142" i="2"/>
  <c r="K142" i="2" s="1"/>
  <c r="N142" i="2" s="1"/>
  <c r="H139" i="2"/>
  <c r="K139" i="2" s="1"/>
  <c r="H137" i="2"/>
  <c r="H136" i="2" s="1"/>
  <c r="H134" i="2"/>
  <c r="K134" i="2" s="1"/>
  <c r="N134" i="2" s="1"/>
  <c r="H135" i="2"/>
  <c r="K135" i="2" s="1"/>
  <c r="N135" i="2" s="1"/>
  <c r="H133" i="2"/>
  <c r="K133" i="2" s="1"/>
  <c r="N133" i="2" s="1"/>
  <c r="H131" i="2"/>
  <c r="K131" i="2" s="1"/>
  <c r="H125" i="2"/>
  <c r="K125" i="2" s="1"/>
  <c r="N125" i="2" s="1"/>
  <c r="H126" i="2"/>
  <c r="K126" i="2" s="1"/>
  <c r="N126" i="2" s="1"/>
  <c r="H127" i="2"/>
  <c r="K127" i="2" s="1"/>
  <c r="N127" i="2" s="1"/>
  <c r="H128" i="2"/>
  <c r="K128" i="2" s="1"/>
  <c r="N128" i="2" s="1"/>
  <c r="H129" i="2"/>
  <c r="K129" i="2" s="1"/>
  <c r="N129" i="2" s="1"/>
  <c r="H123" i="2"/>
  <c r="K123" i="2" s="1"/>
  <c r="N123" i="2" s="1"/>
  <c r="H120" i="2"/>
  <c r="H119" i="2" s="1"/>
  <c r="H118" i="2"/>
  <c r="K118" i="2" s="1"/>
  <c r="H115" i="2"/>
  <c r="K115" i="2" s="1"/>
  <c r="H113" i="2"/>
  <c r="K113" i="2" s="1"/>
  <c r="N113" i="2" s="1"/>
  <c r="H110" i="2"/>
  <c r="K110" i="2" s="1"/>
  <c r="N110" i="2" s="1"/>
  <c r="H107" i="2"/>
  <c r="K107" i="2" s="1"/>
  <c r="N107" i="2" s="1"/>
  <c r="H106" i="2"/>
  <c r="K106" i="2" s="1"/>
  <c r="N106" i="2" s="1"/>
  <c r="H104" i="2"/>
  <c r="K104" i="2" s="1"/>
  <c r="H102" i="2"/>
  <c r="K102" i="2" s="1"/>
  <c r="H100" i="2"/>
  <c r="H99" i="2" s="1"/>
  <c r="H98" i="2"/>
  <c r="K98" i="2" s="1"/>
  <c r="H95" i="2"/>
  <c r="K95" i="2" s="1"/>
  <c r="N95" i="2" s="1"/>
  <c r="H96" i="2"/>
  <c r="K96" i="2" s="1"/>
  <c r="N96" i="2" s="1"/>
  <c r="H91" i="2"/>
  <c r="K91" i="2" s="1"/>
  <c r="N91" i="2" s="1"/>
  <c r="H90" i="2"/>
  <c r="H87" i="2"/>
  <c r="K87" i="2" s="1"/>
  <c r="H83" i="2"/>
  <c r="K83" i="2" s="1"/>
  <c r="N83" i="2" s="1"/>
  <c r="H82" i="2"/>
  <c r="H78" i="2"/>
  <c r="K78" i="2" s="1"/>
  <c r="N78" i="2" s="1"/>
  <c r="H79" i="2"/>
  <c r="K79" i="2" s="1"/>
  <c r="N79" i="2" s="1"/>
  <c r="H77" i="2"/>
  <c r="K77" i="2" s="1"/>
  <c r="N77" i="2" s="1"/>
  <c r="H72" i="2"/>
  <c r="K72" i="2" s="1"/>
  <c r="N72" i="2" s="1"/>
  <c r="H71" i="2"/>
  <c r="H69" i="2"/>
  <c r="K69" i="2" s="1"/>
  <c r="N69" i="2" s="1"/>
  <c r="H68" i="2"/>
  <c r="K68" i="2" s="1"/>
  <c r="N68" i="2" s="1"/>
  <c r="H66" i="2"/>
  <c r="K66" i="2" s="1"/>
  <c r="H62" i="2"/>
  <c r="K62" i="2" s="1"/>
  <c r="N62" i="2" s="1"/>
  <c r="H63" i="2"/>
  <c r="H61" i="2"/>
  <c r="K61" i="2" s="1"/>
  <c r="N61" i="2" s="1"/>
  <c r="H57" i="2"/>
  <c r="H54" i="2"/>
  <c r="K54" i="2" s="1"/>
  <c r="N54" i="2" s="1"/>
  <c r="H55" i="2"/>
  <c r="K55" i="2" s="1"/>
  <c r="N55" i="2" s="1"/>
  <c r="H53" i="2"/>
  <c r="K53" i="2" s="1"/>
  <c r="N53" i="2" s="1"/>
  <c r="H49" i="2"/>
  <c r="K49" i="2" s="1"/>
  <c r="N49" i="2" s="1"/>
  <c r="H48" i="2"/>
  <c r="K48" i="2" s="1"/>
  <c r="N48" i="2" s="1"/>
  <c r="H46" i="2"/>
  <c r="K46" i="2" s="1"/>
  <c r="H44" i="2"/>
  <c r="K44" i="2" s="1"/>
  <c r="H41" i="2"/>
  <c r="K41" i="2" s="1"/>
  <c r="N41" i="2" s="1"/>
  <c r="H42" i="2"/>
  <c r="K42" i="2" s="1"/>
  <c r="N42" i="2" s="1"/>
  <c r="H40" i="2"/>
  <c r="K40" i="2" s="1"/>
  <c r="N40" i="2" s="1"/>
  <c r="H38" i="2"/>
  <c r="K38" i="2" s="1"/>
  <c r="N38" i="2" s="1"/>
  <c r="H36" i="2"/>
  <c r="H33" i="2"/>
  <c r="H32" i="2" s="1"/>
  <c r="H31" i="2"/>
  <c r="K31" i="2" s="1"/>
  <c r="H28" i="2"/>
  <c r="H27" i="2" s="1"/>
  <c r="H22" i="2"/>
  <c r="K22" i="2" s="1"/>
  <c r="N22" i="2" s="1"/>
  <c r="H23" i="2"/>
  <c r="K23" i="2" s="1"/>
  <c r="N23" i="2" s="1"/>
  <c r="H24" i="2"/>
  <c r="K24" i="2" s="1"/>
  <c r="N24" i="2" s="1"/>
  <c r="H21" i="2"/>
  <c r="H18" i="2"/>
  <c r="K18" i="2" s="1"/>
  <c r="N18" i="2" s="1"/>
  <c r="H17" i="2"/>
  <c r="K17" i="2" s="1"/>
  <c r="N17" i="2" s="1"/>
  <c r="H19" i="2"/>
  <c r="K19" i="2" s="1"/>
  <c r="N19" i="2" s="1"/>
  <c r="H16" i="2"/>
  <c r="K16" i="2" s="1"/>
  <c r="N16" i="2" s="1"/>
  <c r="H14" i="2"/>
  <c r="K14" i="2" s="1"/>
  <c r="N14" i="2" s="1"/>
  <c r="H13" i="2"/>
  <c r="H11" i="2"/>
  <c r="K11" i="2" s="1"/>
  <c r="H9" i="2"/>
  <c r="K9" i="2" s="1"/>
  <c r="G143" i="2"/>
  <c r="H143" i="2" s="1"/>
  <c r="K143" i="2" s="1"/>
  <c r="N143" i="2" s="1"/>
  <c r="G8" i="2"/>
  <c r="G10" i="2"/>
  <c r="G12" i="2"/>
  <c r="G15" i="2"/>
  <c r="G27" i="2"/>
  <c r="G30" i="2"/>
  <c r="G32" i="2"/>
  <c r="G35" i="2"/>
  <c r="G39" i="2"/>
  <c r="G43" i="2"/>
  <c r="G45" i="2"/>
  <c r="G47" i="2"/>
  <c r="G60" i="2"/>
  <c r="G65" i="2"/>
  <c r="G67" i="2"/>
  <c r="G70" i="2"/>
  <c r="G76" i="2"/>
  <c r="G81" i="2"/>
  <c r="G86" i="2"/>
  <c r="G89" i="2"/>
  <c r="G97" i="2"/>
  <c r="G99" i="2"/>
  <c r="G101" i="2"/>
  <c r="G103" i="2"/>
  <c r="G105" i="2"/>
  <c r="G114" i="2"/>
  <c r="G117" i="2"/>
  <c r="G119" i="2"/>
  <c r="G130" i="2"/>
  <c r="G132" i="2"/>
  <c r="G136" i="2"/>
  <c r="G138" i="2"/>
  <c r="G145" i="2"/>
  <c r="G147" i="2"/>
  <c r="G158" i="2"/>
  <c r="F158" i="2"/>
  <c r="F155" i="2"/>
  <c r="F147" i="2"/>
  <c r="F145" i="2"/>
  <c r="F141" i="2"/>
  <c r="F138" i="2"/>
  <c r="F136" i="2"/>
  <c r="F132" i="2"/>
  <c r="F130" i="2"/>
  <c r="F122" i="2"/>
  <c r="F119" i="2"/>
  <c r="F117" i="2"/>
  <c r="F114" i="2"/>
  <c r="F109" i="2"/>
  <c r="F105" i="2"/>
  <c r="F103" i="2"/>
  <c r="F101" i="2"/>
  <c r="F99" i="2"/>
  <c r="F97" i="2"/>
  <c r="F93" i="2"/>
  <c r="F86" i="2"/>
  <c r="F84" i="2"/>
  <c r="F81" i="2"/>
  <c r="F76" i="2"/>
  <c r="F67" i="2"/>
  <c r="F65" i="2"/>
  <c r="F60" i="2"/>
  <c r="F47" i="2"/>
  <c r="F45" i="2"/>
  <c r="F43" i="2"/>
  <c r="F39" i="2"/>
  <c r="F35" i="2"/>
  <c r="F32" i="2"/>
  <c r="F30" i="2"/>
  <c r="F27" i="2"/>
  <c r="F15" i="2"/>
  <c r="F12" i="2"/>
  <c r="F10" i="2"/>
  <c r="F8" i="2"/>
  <c r="F7" i="2" s="1"/>
  <c r="G29" i="2" l="1"/>
  <c r="H43" i="2"/>
  <c r="H89" i="2"/>
  <c r="H8" i="2"/>
  <c r="G116" i="2"/>
  <c r="G84" i="2"/>
  <c r="K71" i="2"/>
  <c r="K70" i="2" s="1"/>
  <c r="H70" i="2"/>
  <c r="H154" i="2"/>
  <c r="N93" i="2"/>
  <c r="N47" i="2"/>
  <c r="N39" i="2"/>
  <c r="K117" i="2"/>
  <c r="N118" i="2"/>
  <c r="N117" i="2" s="1"/>
  <c r="K103" i="2"/>
  <c r="N104" i="2"/>
  <c r="N103" i="2" s="1"/>
  <c r="N132" i="2"/>
  <c r="K138" i="2"/>
  <c r="N139" i="2"/>
  <c r="N138" i="2" s="1"/>
  <c r="N147" i="2"/>
  <c r="G109" i="2"/>
  <c r="G108" i="2" s="1"/>
  <c r="G155" i="2"/>
  <c r="G151" i="2" s="1"/>
  <c r="K30" i="2"/>
  <c r="N31" i="2"/>
  <c r="N30" i="2" s="1"/>
  <c r="K45" i="2"/>
  <c r="N46" i="2"/>
  <c r="N45" i="2" s="1"/>
  <c r="K86" i="2"/>
  <c r="N87" i="2"/>
  <c r="N86" i="2" s="1"/>
  <c r="K101" i="2"/>
  <c r="N102" i="2"/>
  <c r="N101" i="2" s="1"/>
  <c r="K145" i="2"/>
  <c r="N146" i="2"/>
  <c r="N145" i="2" s="1"/>
  <c r="K74" i="2"/>
  <c r="N75" i="2"/>
  <c r="N74" i="2" s="1"/>
  <c r="G93" i="2"/>
  <c r="K65" i="2"/>
  <c r="N66" i="2"/>
  <c r="N65" i="2" s="1"/>
  <c r="K97" i="2"/>
  <c r="N98" i="2"/>
  <c r="N97" i="2" s="1"/>
  <c r="N122" i="2"/>
  <c r="N141" i="2"/>
  <c r="N158" i="2"/>
  <c r="K10" i="2"/>
  <c r="N11" i="2"/>
  <c r="N10" i="2" s="1"/>
  <c r="K130" i="2"/>
  <c r="N131" i="2"/>
  <c r="N130" i="2" s="1"/>
  <c r="K8" i="2"/>
  <c r="N9" i="2"/>
  <c r="N8" i="2" s="1"/>
  <c r="K43" i="2"/>
  <c r="N44" i="2"/>
  <c r="N43" i="2" s="1"/>
  <c r="N105" i="2"/>
  <c r="K114" i="2"/>
  <c r="N115" i="2"/>
  <c r="N114" i="2" s="1"/>
  <c r="H58" i="2"/>
  <c r="K58" i="2" s="1"/>
  <c r="N58" i="2" s="1"/>
  <c r="F56" i="2"/>
  <c r="F50" i="2" s="1"/>
  <c r="N15" i="2"/>
  <c r="N67" i="2"/>
  <c r="N76" i="2"/>
  <c r="H101" i="2"/>
  <c r="J108" i="2"/>
  <c r="K105" i="2"/>
  <c r="K57" i="2"/>
  <c r="G7" i="2"/>
  <c r="G141" i="2"/>
  <c r="G140" i="2" s="1"/>
  <c r="G20" i="2"/>
  <c r="H20" i="2"/>
  <c r="H117" i="2"/>
  <c r="H116" i="2" s="1"/>
  <c r="J29" i="2"/>
  <c r="H10" i="2"/>
  <c r="H15" i="2"/>
  <c r="F29" i="2"/>
  <c r="F140" i="2"/>
  <c r="J116" i="2"/>
  <c r="H158" i="2"/>
  <c r="H30" i="2"/>
  <c r="H29" i="2" s="1"/>
  <c r="H12" i="2"/>
  <c r="H138" i="2"/>
  <c r="F108" i="2"/>
  <c r="K67" i="2"/>
  <c r="J7" i="2"/>
  <c r="K15" i="2"/>
  <c r="K85" i="2"/>
  <c r="H84" i="2"/>
  <c r="K13" i="2"/>
  <c r="K33" i="2"/>
  <c r="H76" i="2"/>
  <c r="F80" i="2"/>
  <c r="H130" i="2"/>
  <c r="H114" i="2"/>
  <c r="K36" i="2"/>
  <c r="H60" i="2"/>
  <c r="H111" i="2"/>
  <c r="K111" i="2" s="1"/>
  <c r="K132" i="2"/>
  <c r="H156" i="2"/>
  <c r="K156" i="2" s="1"/>
  <c r="J50" i="2"/>
  <c r="K137" i="2"/>
  <c r="K21" i="2"/>
  <c r="K28" i="2"/>
  <c r="F64" i="2"/>
  <c r="G122" i="2"/>
  <c r="G121" i="2" s="1"/>
  <c r="G56" i="2"/>
  <c r="G50" i="2" s="1"/>
  <c r="H81" i="2"/>
  <c r="K147" i="2"/>
  <c r="H145" i="2"/>
  <c r="K141" i="2"/>
  <c r="H132" i="2"/>
  <c r="F116" i="2"/>
  <c r="H103" i="2"/>
  <c r="J88" i="2"/>
  <c r="H93" i="2"/>
  <c r="F88" i="2"/>
  <c r="G80" i="2"/>
  <c r="H74" i="2"/>
  <c r="H51" i="2"/>
  <c r="H39" i="2"/>
  <c r="K39" i="2"/>
  <c r="F34" i="2"/>
  <c r="K47" i="2"/>
  <c r="H47" i="2"/>
  <c r="H45" i="2"/>
  <c r="F151" i="2"/>
  <c r="H147" i="2"/>
  <c r="J140" i="2"/>
  <c r="H141" i="2"/>
  <c r="J121" i="2"/>
  <c r="F121" i="2"/>
  <c r="K122" i="2"/>
  <c r="H122" i="2"/>
  <c r="K120" i="2"/>
  <c r="H105" i="2"/>
  <c r="H97" i="2"/>
  <c r="K100" i="2"/>
  <c r="G88" i="2"/>
  <c r="K93" i="2"/>
  <c r="K90" i="2"/>
  <c r="K89" i="2" s="1"/>
  <c r="H86" i="2"/>
  <c r="J80" i="2"/>
  <c r="K82" i="2"/>
  <c r="K76" i="2"/>
  <c r="H67" i="2"/>
  <c r="G64" i="2"/>
  <c r="H65" i="2"/>
  <c r="K63" i="2"/>
  <c r="K52" i="2"/>
  <c r="G34" i="2"/>
  <c r="J34" i="2"/>
  <c r="H35" i="2"/>
  <c r="K158" i="2"/>
  <c r="J64" i="2"/>
  <c r="J151" i="2"/>
  <c r="N71" i="2" l="1"/>
  <c r="N70" i="2" s="1"/>
  <c r="H56" i="2"/>
  <c r="H50" i="2" s="1"/>
  <c r="K154" i="2"/>
  <c r="H152" i="2"/>
  <c r="K119" i="2"/>
  <c r="K116" i="2" s="1"/>
  <c r="N120" i="2"/>
  <c r="N119" i="2" s="1"/>
  <c r="N116" i="2" s="1"/>
  <c r="K27" i="2"/>
  <c r="N28" i="2"/>
  <c r="N27" i="2" s="1"/>
  <c r="K109" i="2"/>
  <c r="K108" i="2" s="1"/>
  <c r="N111" i="2"/>
  <c r="N109" i="2" s="1"/>
  <c r="N108" i="2" s="1"/>
  <c r="N140" i="2"/>
  <c r="K136" i="2"/>
  <c r="K121" i="2" s="1"/>
  <c r="N137" i="2"/>
  <c r="N136" i="2" s="1"/>
  <c r="N121" i="2" s="1"/>
  <c r="K99" i="2"/>
  <c r="K88" i="2" s="1"/>
  <c r="N100" i="2"/>
  <c r="N99" i="2" s="1"/>
  <c r="K32" i="2"/>
  <c r="K29" i="2" s="1"/>
  <c r="N33" i="2"/>
  <c r="N32" i="2" s="1"/>
  <c r="N29" i="2" s="1"/>
  <c r="N90" i="2"/>
  <c r="K155" i="2"/>
  <c r="N156" i="2"/>
  <c r="N155" i="2" s="1"/>
  <c r="K84" i="2"/>
  <c r="N85" i="2"/>
  <c r="N84" i="2" s="1"/>
  <c r="N64" i="2"/>
  <c r="K60" i="2"/>
  <c r="N63" i="2"/>
  <c r="N60" i="2" s="1"/>
  <c r="K20" i="2"/>
  <c r="N21" i="2"/>
  <c r="N20" i="2" s="1"/>
  <c r="K35" i="2"/>
  <c r="K34" i="2" s="1"/>
  <c r="N36" i="2"/>
  <c r="N35" i="2" s="1"/>
  <c r="N34" i="2" s="1"/>
  <c r="K81" i="2"/>
  <c r="N82" i="2"/>
  <c r="N81" i="2" s="1"/>
  <c r="K51" i="2"/>
  <c r="N52" i="2"/>
  <c r="N51" i="2" s="1"/>
  <c r="K12" i="2"/>
  <c r="K7" i="2" s="1"/>
  <c r="N13" i="2"/>
  <c r="N12" i="2" s="1"/>
  <c r="N7" i="2" s="1"/>
  <c r="K56" i="2"/>
  <c r="N57" i="2"/>
  <c r="N56" i="2" s="1"/>
  <c r="H109" i="2"/>
  <c r="H108" i="2" s="1"/>
  <c r="H7" i="2"/>
  <c r="K50" i="2"/>
  <c r="H88" i="2"/>
  <c r="K64" i="2"/>
  <c r="H155" i="2"/>
  <c r="H80" i="2"/>
  <c r="H121" i="2"/>
  <c r="H34" i="2"/>
  <c r="K140" i="2"/>
  <c r="J165" i="2"/>
  <c r="F165" i="2"/>
  <c r="H140" i="2"/>
  <c r="G165" i="2"/>
  <c r="H64" i="2"/>
  <c r="H151" i="2" l="1"/>
  <c r="N80" i="2"/>
  <c r="N89" i="2"/>
  <c r="N88" i="2" s="1"/>
  <c r="K152" i="2"/>
  <c r="K151" i="2" s="1"/>
  <c r="N154" i="2"/>
  <c r="N152" i="2" s="1"/>
  <c r="N151" i="2" s="1"/>
  <c r="K80" i="2"/>
  <c r="N50" i="2"/>
  <c r="H165" i="2"/>
  <c r="K165" i="2" l="1"/>
  <c r="N165" i="2"/>
  <c r="P168" i="3"/>
</calcChain>
</file>

<file path=xl/sharedStrings.xml><?xml version="1.0" encoding="utf-8"?>
<sst xmlns="http://schemas.openxmlformats.org/spreadsheetml/2006/main" count="2726" uniqueCount="499">
  <si>
    <t>07</t>
  </si>
  <si>
    <t>0</t>
  </si>
  <si>
    <t>40</t>
  </si>
  <si>
    <t/>
  </si>
  <si>
    <t>06</t>
  </si>
  <si>
    <t>05</t>
  </si>
  <si>
    <t>04</t>
  </si>
  <si>
    <t>02</t>
  </si>
  <si>
    <t>01</t>
  </si>
  <si>
    <t>F2</t>
  </si>
  <si>
    <t>2</t>
  </si>
  <si>
    <t>23</t>
  </si>
  <si>
    <t>1</t>
  </si>
  <si>
    <t>03</t>
  </si>
  <si>
    <t>3</t>
  </si>
  <si>
    <t>22</t>
  </si>
  <si>
    <t>21</t>
  </si>
  <si>
    <t>4</t>
  </si>
  <si>
    <t>20</t>
  </si>
  <si>
    <t>18</t>
  </si>
  <si>
    <t>17</t>
  </si>
  <si>
    <t>16</t>
  </si>
  <si>
    <t>15</t>
  </si>
  <si>
    <t>5</t>
  </si>
  <si>
    <t>14</t>
  </si>
  <si>
    <t>13</t>
  </si>
  <si>
    <t>12</t>
  </si>
  <si>
    <t>11</t>
  </si>
  <si>
    <t>10</t>
  </si>
  <si>
    <t>09</t>
  </si>
  <si>
    <t>08</t>
  </si>
  <si>
    <t>А1</t>
  </si>
  <si>
    <t>Наименование муниципальной программы городского округа город Мегион</t>
  </si>
  <si>
    <t>№ муниципальной программы</t>
  </si>
  <si>
    <t>Решение Думы города Мегиона от 21.12.2018 №327 (утверждённый бюджет)                                                      (тыс. рублей)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</si>
  <si>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</si>
  <si>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</si>
  <si>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Примечание</t>
  </si>
  <si>
    <t>приложение  2</t>
  </si>
  <si>
    <t>к пояснительной записке</t>
  </si>
  <si>
    <t>Муниципальная программа "Развитие систем гражданской защиты населения городского округа город Мегион на 2019-2025 годы"</t>
  </si>
  <si>
    <t>подпрограмма "Функционирование единой дежурно - диспетчерской службы  городского округа город Мегион"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</si>
  <si>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</si>
  <si>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</si>
  <si>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основное мероприятие "Совершенствование системы оповещения населения городского округа"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</si>
  <si>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</si>
  <si>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</si>
  <si>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</si>
  <si>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Муниципальная программа  "Улучшение условий и охраны труда в  городском округе город Мегион на 2019-2025 годы"</t>
  </si>
  <si>
    <t>основное мероприятие "Совершенствование государственного управления охраной труда в городском округе город Мегион"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</si>
  <si>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</si>
  <si>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</si>
  <si>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городском округе город Мегион"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</si>
  <si>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</si>
  <si>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основное мероприятие "Создание условий для развития субъектов малого и среднего предпринимательства"</t>
  </si>
  <si>
    <t>основное мероприятие "Финансовая поддержка субъектов малого и среднего предпринимательства, осуществляющих социально значимые виды деятельности и деятельность в социальной сфере"</t>
  </si>
  <si>
    <t>основное мероприятие "Финансовая поддержка начинающих предпринимателей"</t>
  </si>
  <si>
    <t>основное мероприятие "Развитие инновационного и молодежного предпринимательства"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</si>
  <si>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</si>
  <si>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в городском округе город Мегион на 2019-2025 годы"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</si>
  <si>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</si>
  <si>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</si>
  <si>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подпрограмма  "Управление муниципальным долгом"</t>
  </si>
  <si>
    <t>основное мероприятие "Обслуживание муниципального внутреннего долга "</t>
  </si>
  <si>
    <t>Муниципальная программа "Развитие культуры и туризма в городском округе город Мегион на 2019 - 2025 годы"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</si>
  <si>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</si>
  <si>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основное мероприятие "Развитие библиотечного дела"</t>
  </si>
  <si>
    <t>основное мероприятие "Укрепление материально-технической базы учреждений культуры"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</si>
  <si>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</si>
  <si>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</si>
  <si>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"Стимулирование культурного разнообразия в городском округе"</t>
  </si>
  <si>
    <t>основное мероприятие "Субсидии некоммерческим организациям (за исключением государственных (муниципальных) учреждений)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</si>
  <si>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</si>
  <si>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</si>
  <si>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Муниципальная программа "Развитие муниципальной службы в городском округе город Мегион на 2019-2025 годы"</t>
  </si>
  <si>
    <t>основное мероприятие "Повышение  уровня профессиональной компетенции муниципальных служащих"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</si>
  <si>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</si>
  <si>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</si>
  <si>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Муниципальная программа "Развитие физической культуры и спорта в муниципальном образовании  город Мегион на 2019 -2025 годы"</t>
  </si>
  <si>
    <t>подпрограмма "Развитие физической культуры и массового спорта"</t>
  </si>
  <si>
    <t>основное мероприятие "Муниципальная поддержка некоммерческих организаций (за исключением государственных (муниципальных) учреждений)"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</si>
  <si>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</si>
  <si>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</si>
  <si>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Муниципальная программа "Управление муниципальным имуществом городского округа город Мегион на 2019-2025 годы"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</si>
  <si>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</si>
  <si>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</si>
  <si>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</si>
  <si>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Муниципальная программа "Развитие жилищной сферы на территории городского округа город Мегион на 2019-2025 годы"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</si>
  <si>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</si>
  <si>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</si>
  <si>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</si>
  <si>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</si>
  <si>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</si>
  <si>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городского округа город Мегион"</t>
  </si>
  <si>
    <t>основное мероприятие "Предоставление жилья, изъятие жилых помещений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</si>
  <si>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</si>
  <si>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Муниципальная программа "Развитие информационного общества на территории городского округа город Мегион на 2019-2025 годы"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</si>
  <si>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</si>
  <si>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</si>
  <si>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городского округа город Мегион"</t>
  </si>
  <si>
    <t>Муниципальная программа "Развитие транспортной системы городского округа город Мегион на 2019-2025 годы"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</si>
  <si>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</si>
  <si>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</si>
  <si>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</si>
  <si>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</si>
  <si>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основное мероприятие " Обеспечение функционирования сети автомобильных дорог общего пользования городского округа"</t>
  </si>
  <si>
    <t>подпрограмма   "Формирование законопослушного поведения участников дорожного движения, повышение безопасности дорожного движения в городском округе город Мегион"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</si>
  <si>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</si>
  <si>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</si>
  <si>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подпрограмма  "Содержание объектов внешнего благоустройства городского округа  город Мегион"</t>
  </si>
  <si>
    <t>основное мероприятие "Обеспечение стабильной благополучной эпизоотической обстановки в городском округе город Мегион и защита населения от болезней, общих для человека и животных"</t>
  </si>
  <si>
    <t>основное мероприятие "Обеспечение единого порядка содержания объектов внешнего благоустройства (в том числе с применением инициативного бюджетирования)"</t>
  </si>
  <si>
    <t>подпрограмма "Модернизация и реформирование жилищно-коммунального комплекса городского округа город Мегион"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</si>
  <si>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</si>
  <si>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</si>
  <si>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</si>
  <si>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</si>
  <si>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</si>
  <si>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городского округа город Мегион"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</si>
  <si>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</si>
  <si>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городского округа город Мегион"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</si>
  <si>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</si>
  <si>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Муниципальная программа "Мероприятия в области градостроительной деятельности городского округа город Мегион на 2019-2025 годы"</t>
  </si>
  <si>
    <t>основное мероприятие "Совершенствование системы управления градостроительным развитием территории"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</si>
  <si>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</si>
  <si>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</si>
  <si>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</si>
  <si>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</si>
  <si>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</si>
  <si>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</si>
  <si>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</si>
  <si>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</si>
  <si>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</si>
  <si>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</si>
  <si>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</si>
  <si>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Муниципальная программа "Укрепление межнационального и межконфессионального согласия, профилактика экстремизма и терроризма в городском округе город Мегион на 2019-2025 годы"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</si>
  <si>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</si>
  <si>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</si>
  <si>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</si>
  <si>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</si>
  <si>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</si>
  <si>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подпрограмма "Развитие системы дошкольного и общего образования"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</si>
  <si>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</si>
  <si>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</si>
  <si>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</si>
  <si>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</si>
  <si>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</si>
  <si>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</si>
  <si>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</si>
  <si>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подпрограмма "Обеспечение комплексной безопасности и комфортных условий муниципальных образовательных организаций городского округа город Мегион"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</si>
  <si>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</si>
  <si>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</si>
  <si>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</si>
  <si>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</si>
  <si>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</si>
  <si>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</si>
  <si>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</si>
  <si>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</si>
  <si>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Муниципальная программа "Развитие муниципального управления на 2019-2025 годы"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</si>
  <si>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</si>
  <si>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</si>
  <si>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</si>
  <si>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основное мероприятие "Совершенствование системы муниципального стратегического управления"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</si>
  <si>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</si>
  <si>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</si>
  <si>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</si>
  <si>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</si>
  <si>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</si>
  <si>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</si>
  <si>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Муниципальная программа "Формирование современной городской среды городского округа город Мегион на 2019-2025 годы"</t>
  </si>
  <si>
    <t>подпрограмма "Благоустройство дворовых территорий"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</si>
  <si>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</si>
  <si>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</si>
  <si>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Непрограммные расходы органов местного самоуправления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</si>
  <si>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</si>
  <si>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</si>
  <si>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"Формирование резервного фонда администрации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</si>
  <si>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</si>
  <si>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</si>
  <si>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"Выполнение отдельных мероприятий"</t>
  </si>
  <si>
    <t>(+) 367,3 тыс. рублей - увеличен объем бюджетных ассигнований на государственную регистрацию актов гражданского состояния (ЗАГС-средства федерального бюджета)</t>
  </si>
  <si>
    <t>(+) 54,0 тыс. рублей - увеличен объем бюджетных ассигнований на предоставление доступа к сети интернет для организации работы систем видеонаблюдения в сфере общественного порядка</t>
  </si>
  <si>
    <t>(-) 54,0 тыс. рублей - уменьшен объем бюджетных ассигнований на предоставление доступа к сети интернет для организации работы систем видеонаблюдения в сфере безопасности дорожного движения</t>
  </si>
  <si>
    <t>(+) 100,0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</t>
  </si>
  <si>
    <t xml:space="preserve">(-) 14,5 тыс.рублей - уменьшен объем бюджетных ассигнований по резервному фонду </t>
  </si>
  <si>
    <t>(+) 35 169,4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</t>
  </si>
  <si>
    <t>(-) 105,8 тыс.рублей поменялся КЦСР на основании уведомления ХМАО-Югры от 29.01.2019 №240/01/004/2/240080205R5190</t>
  </si>
  <si>
    <t>(+) 321,4 тыс. рублей - увеличен объем бюджетных ассигнований на сумму остатка средств резервного фонда Правительства Тюменской области                    ( приобретение спортивной экипировки и инвентаря МБУ ДО «ДЮСШ "Вымпел» -остаток средств на 01.01.2019);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663,9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</si>
  <si>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(+) 447,2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</si>
  <si>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основное мероприятие "Реализация Всероссийского физкультурно-спортивного комплекса "Готов к труду и обороне" (ГТО)</t>
  </si>
  <si>
    <t>(+) 7 566,8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</t>
  </si>
  <si>
    <t>(+) 3 357,0 тыс. рублей -увеличен объем бюджетных ассигнований на благоустройство дворовых территорий (средства федерального бюджета);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дворовых территорий (средства автономного округа)</t>
  </si>
  <si>
    <t>(+) 3 356,9 тыс. рублей -увеличен объем бюджетных ассигнований на благоустройство территорий общего пользования (средства федерального бюджета);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территорий общего пользования (средства автономного округа)</t>
  </si>
  <si>
    <t>(+) 321,4 тыс. рублей - увеличен объем бюджетных ассигнований на сумму остатка средств резервного фонда Правительства Тюменской области ( приобретение спортивной экипировки и инвентаря МБУ ДО «ДЮСШ "Вымпел» -остаток средств на 01.01.2019);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663,9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</t>
  </si>
  <si>
    <t>(+) 2 350,0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округа).                                                                                                        (+) 494,3 тыс. рублей -увеличен объем бюджетных ассигнований на выполнение ПИРов по объекту "Объемная световая композиция на первом кольце транспортной развязки г.Мегион"</t>
  </si>
  <si>
    <t>(+) 14,5 тыс. рублей - увеличен объем бюджетных ассигнования для выплаты социального пособия гражданам, пострадавшим в результате пожара</t>
  </si>
  <si>
    <t>(+) 9 991,0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(+) 5 528,8 тыс. рублей - увеличен объем бюджетных ассигнований на выплату выкупной стоимости за изымаемые жилые помещения  (средства местного бюджета)</t>
  </si>
  <si>
    <t>(+) 9 991,0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(+) 5 528,8 тыс. рублей - увеличен объем бюджетных ассигнований на выплату выкупной стоимости за изымаемые жилые помещения (средства местного бюджета)</t>
  </si>
  <si>
    <t>(+) 61 552,1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</si>
  <si>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(+) 61 552,1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(средства местного бюджета)</t>
  </si>
  <si>
    <t>(+) 2 159,6 тыс. рублей - увеличен объем бюджетных ассигнований на осуществление ПИРов по газификации школы в п.Высокий на 300 мест в связи (средства местного бюджета);                                                                                                                                                                           (+) 15 000,0 тыс. рублей - увеличен объем бюджетных ассигнований на строительно-монтажные работы по объекту "Газификация школы в п.Высокий на 300 мест" (средства местного бюджета)</t>
  </si>
  <si>
    <t>Информация об изменении показателей объема бюджетных ассигнований на реализацию муниципальных программ и непрограммных направлений деятельности к первоначально утвержденным</t>
  </si>
  <si>
    <t>Решение Думы города Мегиона от 21.02.2019 №333 (уточненный бюджет)                                                      (тыс. рублей)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</si>
  <si>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 рублей - увеличен объем бюджетных ассигнований для обеспечения доли софинансирования субсидии на поддержку отрасли культуры</t>
  </si>
  <si>
    <t>(-) 370,0 тыс.рублей - уменьшен объем бюджетных ассигнований по обеспечению деятельности органов местного самоуправления</t>
  </si>
  <si>
    <t>(+) 370,0 тыс. рублей - увеличен объем бюджетных ассигнований на ремонт кабинета 301 административного здания по ул.Советская 19</t>
  </si>
  <si>
    <t>(+) 430,6 тыс. рублей - увеличен объем бюджетных ассигнований на ремонт системы огнезадерживающих клапанов для МАДОУ "ДС №14 "Умка" (расп. №135-рп от 21.02.2019);</t>
  </si>
  <si>
    <t>(-) 99,5 тыс. рублей - уменьшен объем бюджетных ассигнований по монтажу технических средств организации дорожного движения и реконструкции, строительства, устройству на улично-дорожной сети городского округа пешеходных ограждений, в том числе в зоне пешеходных переходов</t>
  </si>
  <si>
    <t>(+) 17 500,0 тыс. рублей - увеличен объем бюджетных ассигнований на организацию отдыха и оздоровление детей жителей города Мегион и поселка Высокий в течение 2019 года на территории РФ (соглашение о благотворительной деятельности с ОАО "СН-МНГ" от 21.02.2019 №8)</t>
  </si>
  <si>
    <t>(+) 23 263,6 тыс. рублей - увеличен объем целевых межбюджетных трансфертов 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</si>
  <si>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(+) 15 641,4 тыс.рублей увеличен объем бюджетных ассигнований  на осуществление полномочий по обеспечению жильем отдельных категорий граждан.</t>
  </si>
  <si>
    <t>(-) 3,0 тыс. рублей - уменьшен объем бюджетных ассигнований для обеспечения доли софинансирования субсидии на поддержку отрасли культуры;                                   (+) 3 251,0 тыс. рублей -увеличен объем бюджетных ассигнований для достижения целевого показателя, установленного в ХМАО-Югре на 2019 год для работников учреждений культуры в соответствии с Указами Президента РФ.</t>
  </si>
  <si>
    <t xml:space="preserve">(+) 398,5 тыс. рублей -увеличен объем бюджетных ассигнований на благоустройство дворовых территорий - доля софинансирования за счет средств местного бюджета; </t>
  </si>
  <si>
    <t xml:space="preserve">(+) 398,5 тыс. рублей -увеличен объем бюджетных ассигнований на благоустройство территорий общего пользования - доля софинансирования за счет средств местного бюджета; </t>
  </si>
  <si>
    <t>(+) 406,7 тыс. рублей -увеличен объем бюджетных ассигнований на выплату пособия на период трудоустройства работника при сокращении</t>
  </si>
  <si>
    <t>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</si>
  <si>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основное мероприятие "Ликвидация и расселение приспособленных для проживания строений"</t>
  </si>
  <si>
    <t>(+) 99,5 тыс. рублей - увеличен объем бюджетных ассигнований на ремонт автомобильной дороги местного значения по улицам Нефтяников, Кузьмина, Свободы, Заречная г.Мегиона (ПИР);                                                                                                                                               (+) 4 213,8 тыс. рублей - увеличен объем бюджетных ассигнований на ПИРы по объекту "Автомобильная дорога по ул.Нефтяников от ул.Заречная до ул.Губкина г.Мегион"</t>
  </si>
  <si>
    <t>(+) 99,5 тыс. рублей - увеличен объем бюджетных ассигнований на ремонт автомобильной дороги местного значения по улицам Нефтяников, Кузьмина, Свободы, Заречная г.Мегиона (ПИР);                                                                                                                                                      (+) 4 213,8 тыс. рублей - увеличен объем бюджетных ассигнований на ПИРы по объекту "Автомобильная дорога по ул.Нефтяников от ул.Заречная до ул.Губкина г.Мегион"</t>
  </si>
  <si>
    <t>(+) 60,0 тыс. рублей - увеличен объем бюджетных ассигнований на повышение  уровня профессиональной компетенции муниципальных служащих</t>
  </si>
  <si>
    <t>(+) 13 773,1 тыс. рублей - увеличен объем бюджетных ассигнований на выплату выкупной стоимости за изымаемые жилые помещения (средства местного бюджета);                                                                                                                                                                                                  (+) 26 203,8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полномочий в области жилищных отношений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348 136,1 тыс. рублей - увеличен объем целевых межбюджетных трансфертов из бюджета автономного округа на реализацию полномочий в области жилищных отношений (средства бюджета автономного округа)</t>
  </si>
  <si>
    <t>(+) 826,7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(+) 2 479,9 тыс. рублей - увеличен объем целевых межбюджетных трансфертов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 (средства бюджета автономного округа)</t>
  </si>
  <si>
    <t>(-) 1 386,6 тыс. рублей - уменьшен объем бюджетных ассигнований по газификации школы на 300 учащихся в п.Высокий;                                                                                       (+) 402,6 тыс. рублей - увеличен объем целевых межбюджетных трансфертов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 (средства бюджета автономного округа)</t>
  </si>
  <si>
    <t>(-) 1 386,6 тыс. рублей - уменьшен объем бюджетных ассигнований по газификации школы на 300 учащихся в п.Высокий;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402,6 тыс. рублей - увеличен объем целевых межбюджетных трансфертов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материалов, используется в целях обеспечения бесперебойной работы в осенне-зимний период  (средства бюджета автономного округа)</t>
  </si>
  <si>
    <t>(+) 748,8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(надзора)- доля софинансирования из средств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1 747,2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(средства бюджета автономного округа)</t>
  </si>
  <si>
    <t>(+)  0,1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бюджета автономного округа)</t>
  </si>
  <si>
    <t xml:space="preserve">(+) 11,7 тыс. рублей - увеличен объем бюджетных ассигнований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(средства бюджета автономного округа).
</t>
  </si>
  <si>
    <t>(+)  22 580,6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467 249,7 тыс. рублей - увеличен объем бюджетных ассигнований на реализацию муниципальных программ по ликвидации и расселению приспособленных для проживания строений (балочных массивов) (средства бюджета автономного округа)</t>
  </si>
  <si>
    <t>(-) 3,0 тыс. рублей - уменьшен объем бюджетных ассигнований для обеспечения доли софинансирования субсидии на поддержку отрасли культуры;                                                                                                                                                                                                                                      (+) 3 251,0 тыс. рублей -увеличен объем бюджетных ассигнований для достижения целевого показателя, установленного в ХМАО-Югре на 2019 год для работников учреждений культуры в соответствии с Указами Президента РФ.</t>
  </si>
  <si>
    <t>(+) 13 773,1 тыс. рублей - увеличен объем бюджетных ассигнований на выплату выкупной стоимости за изымаемые жилые помещения (средства местного бюджета);                                                                                                                                                                                                  (+) 26 203,8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полномочий в области жилищных отношений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826,7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(+) 348 136,1 тыс. рублей - увеличен объем целевых межбюджетных трансфертов из бюджета автономного округа на реализацию полномочий в области жилищных отношений (средства бюджета автономного округа);                                                                                         (+) 2 479,9 тыс. рублей - увеличен объем целевых межбюджетных трансфертов на строительство объекта капитального строительства "Участок тепловых сетей 2Д800мм от УТ-4 до ул.50лет Октября с переходом ул.Заречная, 2Д700мм от ул.50 лет Октября"  (средства бюджета автономного округа)</t>
  </si>
  <si>
    <t>(+) 919,1 тыс. рублей -увеличен объем бюджетных ассигнований на доплату к пенсии муниципальных служащих;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780,9 тыс. рублей -увеличен объем бюджетных ассигнований на обеспечение проведения выборов и референдумов</t>
  </si>
  <si>
    <t>(-) 370,0 тыс.рублей - уменьшен объем бюджетных ассигнований  содержание МКУ "СО"  экономия средств местного бюджета</t>
  </si>
  <si>
    <t>(+) 370,0 тыс. рублей - увеличен объем бюджетных ассигнований местного бюджета на ремонт кабинета 301 административного здания по ул.Советская 19</t>
  </si>
  <si>
    <t>(+) 11,7 тыс. рублей - увеличен объем целевых межбюджетных трансфертов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 (средства бюджета автономного округа).</t>
  </si>
  <si>
    <t>(-) 60,0 тыс.рублей - уменьшен объем бюджетных ассигнований по обеспечению деятельности Думы города  (средства местного бюджета)</t>
  </si>
  <si>
    <t>(+) 173,0 тыс. рублей- увеличен объем  целевых межбюджетных трансфертов  на организацию профессионального обучения и дополнительного профессионального образования лиц предпенсионного возраста (в т.ч.: средства бюджета автономного округа - 164,4 тыс. рублей, средства федерального бюджета - 8,6 тыс. 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700,0 тыс. рублей- увеличен объем целевых межбюджетных трансфертов   на повышение эффективности использования и развития ресурсного потенциала рыбохозяйственного комплекса (средства бюджета автономного округа).</t>
  </si>
  <si>
    <t>основное мероприятие "Расширение доступа субъектов малого и среднего предпринимательства к финансовым ресурсам, в том числе к льготному финансированию"</t>
  </si>
  <si>
    <t>I4</t>
  </si>
  <si>
    <t>I8</t>
  </si>
  <si>
    <t>основное мероприятие "Популяризация предпринимательства"</t>
  </si>
  <si>
    <t>(+) 15 641,4 тыс.рублей - увеличен объем  целевых межбюджетных трансфертов  на осуществление полномочий по обеспечению жильем отдельных категорий граждан.</t>
  </si>
  <si>
    <t>(+)  22 580,6 тыс. 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реализации муниципальных программ по ликвидации и расселению приспособленных для проживания строений (балочных массивов)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467 249,7 тыс. рублей - увеличен объем целевых межбюджетных трансфертов на реализацию муниципальных программ по ликвидации и расселению приспособленных для проживания строений (балочных массивов) (средства бюджета автономного округа)</t>
  </si>
  <si>
    <t>(+) 748,8 тыс. рублей - увеличен объем бюджетных ассигнований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(надзора)- доля софинансирования из средств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1 747,2 тыс. рублей - увеличен объем целевых межбюджетных трансфертов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(средства бюджета автономного округа)</t>
  </si>
  <si>
    <t>(+) 6 888,9 тыс.рублей - увеличен объем бюджетных ассигнований на государственную поддержку отрасли культуры (приобретение музыкальных инструментов, оборудования и учебных материалов) (средства бюджета автономного округа);                                                                                                                              (+) 5 434,9  тыс.рублей - увеличен объем бюджетных ассигнований на государственную поддержку отрасли культуры (приобретение музыкальных инструментов, оборудования и учебных материалов) (средства федерального бюджета)</t>
  </si>
  <si>
    <t>(+) 3,0 тыс. рублей - увеличен объем бюджетных ассигнований для обеспечения доли софинансирования субсидии на поддержку отрасли культуры;                                                                                   (+) 6 888,9 тыс.рублей - увеличен объем бюджетных ассигнований на государственную поддержку отрасли культуры (приобретение музыкальных инструментов, оборудования и учебных материалов для МБУ ДО «ДШИ им.Кузьмина»)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(+) 5 434,9  тыс.рублей - увеличен объем бюджетных ассигнований на государственную поддержку отрасли культуры (приобретение музыкальных инструментов, оборудования и учебных материалов для МБУ ДО «ДШИ им.Кузьмина» (средства федерального бюджета).</t>
  </si>
  <si>
    <t>основное мероприятие "Строительство (реконструкция) спортивных сооружений"</t>
  </si>
  <si>
    <t xml:space="preserve">(-) 7 566,8 тыс. рублей - перераспределен объем бюджетных ассигнований на подпрограмму "Развитие системы подготовки спортивного резерва" по объекту капитального строительства "СК с универсальным игровым залом и плоскостными спортивными сооружениями" в результате перераспределения на (средства местного бюджета)                                                                                                                                      </t>
  </si>
  <si>
    <t xml:space="preserve">(+) 1 386,6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местного бюджета);                                                                                                                              (+) 143 768,3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(-) 7 566,8 тыс. рублей - перераспределен объем бюджетных ассигнований с подпрограммы "Развитие физической культуры и массового спорта" по объекту капитального строительства "СК с универсальным игровым залом и плоскостными спортивными сооружениями" в результате перераспределения на (средства местного бюджета)                                                                                                                       </t>
  </si>
  <si>
    <t xml:space="preserve">(+) 200,0 тыс. рублей - увеличен объем бюджетных ассигнований на проведение турнира по боксу «Кубок главы города Мегиона» МБУ ДО «ДЮСШ "Вымпел» (средства резервного фонда Правительства Тюменской области, расп. №181-рп от 04.03.2019);                                                                                                                                            (+) 1 386,6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местного бюджета);                                                                                                                              (+) 143 768,3 тыс. рублей - увеличен объем бюджетных ассигнований на строительство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                                 (-) 7 566,8 тыс. рублей - перераспределен объем бюджетных ассигнований с подпрограммы "Развитие физической культуры и массового спорта" по объекту капитального строительства "СК с универсальным игровым залом и плоскостными спортивными сооружениями" в результате перераспределения на (средства местного бюджета)  </t>
  </si>
  <si>
    <t>Решение Думы города Мегиона от 22.03.2019 №343 (уточненный бюджет)                                                      (тыс. рублей)</t>
  </si>
  <si>
    <t xml:space="preserve">(-) 10 126,6 тыс. рублей -уменьшен объем бюджетных ассигнований по благоустройству дворовых территорий (их них: 3 357,0 тыс.рублей - средства федерального бюджета; 5 250,6 тыс.рублей - средства бюджета автономного округа; 1 519,0 тыс.рублей - средства местного бюджета) </t>
  </si>
  <si>
    <t>Региональный проект "Обеспечение устойчивого сокращения непригодного для проживания жилищного фонда"</t>
  </si>
  <si>
    <t>F3</t>
  </si>
  <si>
    <t>(+) 26 203,8 тыс. рублей - увеличен объем бюджетных ассигнований на переселение граждан из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348 136,1 тыс. рублей - увеличен объем целевых межбюджетных трансфертов из бюджета автономного округа на переселение граждан из непригодного для проживания жилищного фонда (средства бюджета автономного округа)</t>
  </si>
  <si>
    <t xml:space="preserve">(+) 17,2 тыс.рублей - увеличен объем бюджетных ассигнований на поддержку отрасли культуры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100,0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</t>
  </si>
  <si>
    <t xml:space="preserve">(+) 17,2 тыс.рублей - увелен объем бюджетных ассигнований на поддержку отрасли культуры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(+)105,8 тыс.рублей поменялся КЦСР на основании уведомления ХМАО-Югры от 29.01.2019 №240/01/004/2/240080205R5190;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</si>
  <si>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"Мероприятия по обеспечению комплексной безопасности и комфортных условий в муниципальных спортивных учреждениях. Ремонтные работы спортивных объектов и сооружений"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</si>
  <si>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 Проведение соревнований по видам спорта"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</si>
  <si>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</si>
  <si>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</si>
  <si>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(+) 2 350,0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(+) 494,3 тыс. рублей -увеличен объем бюджетных ассигнований на выполнение ПИРов по объекту "Объемная световая композиция на первом кольце транспортной развязки г.Мегион"                                                                                                                                                                   (+) 3 356,9 тыс. рублей -увеличен объем бюджетных ассигнований на благоустройство территорий общего пользования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(-) 1 098,9 тыс.рублей - уменьшен объем бюджетных ассигнований по благоустройству территорий общего пользования (средства автономного округа)</t>
  </si>
  <si>
    <t xml:space="preserve">(-) 5,0 тыс.рублей - уменьшен объем бюджетных ассигнований по обеспечению полномочий и функций МКУ "УГЗН" (средства местного бюджета)         </t>
  </si>
  <si>
    <t xml:space="preserve">(-) 18,5 тыс.рублей - уменьшен объем бюджетных ассигнований по доступу к сети INTRANET (VPN) для организации работы систем видеонаблюдения для фиксаций правонарушений (средства местного бюджета)         </t>
  </si>
  <si>
    <t xml:space="preserve">(+) 18,5 тыс.рублей - увеличен объем бюджетных ассигнований на оплату услуги интернета - общественная безопасность (средства местного бюджета)      </t>
  </si>
  <si>
    <t xml:space="preserve">(+) 5,0 тыс.рублей - увеличен объем бюджетных ассигнований на оплату услуг по переносу имущества в связи с капитальным ремонтом здания по ул.Садовая, 16 (средства местного бюджета)      </t>
  </si>
  <si>
    <t>(+) 400,0 тыс. рублей -увеличен объем бюджетных ассигнований на развитие юноармейского движения (приобретение формы, снаряжения, оборудования) (благотворительные пожертвования от ОАО "СН-МНГ" - соглашение о благотворительной деятельности №15 от 27.03.2019)</t>
  </si>
  <si>
    <t>(-) 403,2 тыс. рублей - перераспределен объем бюджетных ассигнований на организацию и проведение мероприятий в области информатики (программное обеспечение) (средства местного бюджета)</t>
  </si>
  <si>
    <t>(+) 403,2 тыс. рублей - перераспределен объем бюджетных ассигнований на организацию и проведение мероприятий в области информатики (программное обеспечение) (средства местного бюджета)</t>
  </si>
  <si>
    <t>(+) 33 188,7 тыс.рублей - увеличен объем бюджетных ассигнований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</t>
  </si>
  <si>
    <t>основное мероприятие "Региональный проект "Культурная среда"</t>
  </si>
  <si>
    <t>(+) 6,2 тыс.рублей - увеличен объем бюджетных ассигнований  для выплаты денежного содержания работнику за исполнение обязанностей заместителя главы города по социальной политике;</t>
  </si>
  <si>
    <t>(-) 6,2 тыс.рублей - уменьшен объем бюджетных ассигнований  для выплаты  денежного содержания работнику ДОиМП  за исполнение обязанностей заместителя главы города по социальной политике.</t>
  </si>
  <si>
    <t>основное мероприятие "Повышение уровня благоустройства и комфорта дворовых территорий в условиях сложившейся застройки"</t>
  </si>
  <si>
    <t>(+) 91,1 тыс.рублей - увеличен объем бюджетных ассигнований на выполнение проектно-сметной документации по ремонту внутриквартальных проездов и площадок 14 микрорайона в границах улиц Новая-Победы-Геологов г.Мегиона (средства местного бюджета)</t>
  </si>
  <si>
    <t>Региональный проект "Формирование комфортной городской среды"</t>
  </si>
  <si>
    <t xml:space="preserve">(-) 99,5 тыс. рублей - уменьшен объем бюджетных ассигнований по монтажу технических средств организации дорожного движения и реконструкции, строительства, устройству на улично-дорожной сети городского округа пешеходных ограждений, в том числе в зоне пешеходных переходов (средства местного бюджета)  </t>
  </si>
  <si>
    <t>(+) 937,2 тыс.рублей - увеличен объем бюджетных ассигнований на предоставление транспортных услуг по перевозке пассажиров на маршрутной сети (средства местного бюджета)</t>
  </si>
  <si>
    <t xml:space="preserve">(+) 43,0 тыс.рублей - увеличен объем бюджетных ассигнований на выполнение проектно-сметной документации по ремонту автомобильной дороги местного значения по улицам Нефтяников, Садовая, Новая, Строителей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99,5 тыс.рублей - увеличен объем бюджетных ассигнований на выполнение проектно-сметной документации по ремонту автомобильной дороги местного значения по улицам Новая, Губкина, Ленина города Мегиона (средства местного бюджета)      </t>
  </si>
  <si>
    <t>(-) 2,7 тыс. рублей - уменьшен объем бюджетных ассигнований по обслуживанию пожарных гидрантов (средства местного бюджета)</t>
  </si>
  <si>
    <t>(-) 10,8 тыс.рублей - уменьшен объем бюджетных ассигнований на поддержку отрасли культуры ( средства федерального бюджета - 1 800,0 рублей,средства автономного округа- 8 962,5 рублей )</t>
  </si>
  <si>
    <t>06       РЗ</t>
  </si>
  <si>
    <t xml:space="preserve">(-) 916,4 тыс. рублей - уменьшен объем бюджетных ассигнований по уходу за газонами, закупки, посадки и уходу за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(-) 22,3 тыс. рублей - уменьшен объем бюджетных ассигнований по обслуживанию сетей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(-) 4,7 тыс. рублей - уменьшен объем бюджетных ассигнований по содержанию кладбища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тыс.рублей-увеличен объем бюджетных ассигнований на предоставление субсидии в форме грантов победителям конкурса поддержки местных инициатив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</si>
  <si>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64,8 тыс.рублей - уменьшен объем бюджетных ассигнований резервного фонда администрации города </t>
  </si>
  <si>
    <t>(+) 50,0 тыс. рублей -увеличен объем бюджетных ассигнований на проведение праздников (благотворительная помощь - соглашение о сотрудничестве между администрацией города и Публичным акционерным обществом Банка "Финансовая Корпорация Открытие");                                                                                                                (+) 501,2 тыс. рублей - увеличен объем бюджетных ассигнований на проведение спортивных мероприятий, участия в соревнованиях для МБУ ДО «ДЮСШ «Вымпел» (средства резервного фонда Правительства Тюменской области, расп. №393-рп-рп от 18.04.2019).</t>
  </si>
  <si>
    <t xml:space="preserve">(+) 50,0 тыс.рублей -увеличен объем бюджетных ассигнований для оплаты штрафа (постановление о возбуждении исполнительного производства Управления Федеральной службы судебных приставов по ХМАО-Югре от 06.08.2018 №86007/18/124432);                                                                                                                                      (+) 14,8 тыс. рублей - увеличен объем бюджетных ассигнования для выплаты социального пособия гражданам, пострадавшим в результате пожара;                                                                                                                                                                                                                                         (+) 2,8 тыс.рублей - увеличен объем бюджетных в целях оплаты исполнительных документов по взысканию расходов на приобретенные материалы и ремонт мест общего пользования. </t>
  </si>
  <si>
    <t xml:space="preserve">(+) 282,7 тыс.рублей - увеличен объем бюджетных ассигнований на оказание услуг связи единой дежурно-диспетчерской службы (средства местного бюджета).
</t>
  </si>
  <si>
    <t>(-) 282,7 тыс. рублей - уменьшен объем бюджетных ассигнований по совершенствованию системы оповещения населения городского округа (средства местного бюджета).</t>
  </si>
  <si>
    <t>(+) 305,2 тыс.рублей - увеличен объем бюджетных ассигнований  на реализацию мероприятий по обеспечению жильем молодых семей (из них: 290,1 тыс.рублей - средства бюджета автономного округа; 15,1 тыс.рублей -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52,0 тыс.рублей - увеличен объем бюджетных ассигнований на реализацию мероприятий по обеспечению жильем молодых семей, в том числе в целях обеспечения доли софинансирования  (средства местного бюджета)</t>
  </si>
  <si>
    <t>(-) 52,0 тыс.рублей - уменьшен объем бюджетных ассигнований по выкупу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26 203,8 тыс. рублей - уменьшен объем бюджетных ассигнований по переселение граждан из непригодного для проживания жилищного фонда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348 136,1 тыс. рублей - уменьшен объем целевых межбюджетных трансфертов из бюджета автономного округа по переселение граждан из непригодного для проживания жилищного фонда (средства бюджета автономного округа)</t>
  </si>
  <si>
    <t>(+) 435,0 тыс. рублей -увеличен объем бюджетных ассигнований для денежных выплат участникам ВОВ 1941-1945, инвалидам, вдовам, детям участников ВОВ 1941-1945, труженикам тыла, узникам концлагерей (благотворительное пожертвование Фонда "Меценат")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тыс.рублей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26.04.2019 №433-рп);                                                                                                                                                                                                                           (+) 1 050,0 -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18.04.2019 №386-рп);                                                                                                                                                                         (-) 5,0 тыс.рублей - уменьшен объем бюджетных ассигнований путем перераспредления (средства местного б.джета);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тыс.рублей - уменьшен объем бюджетных ассигнований в целях реализации на территории муниципального образования  город Мегион проектов инициативного бюджетирования в 2019 году.</t>
  </si>
  <si>
    <t>(+) 50,0 тыс. рублей -увеличен объем бюджетных ассигнований на проведение праздников (благотворительная помощь - соглашение о сотрудничестве между администрацией города и Публичным акционерным обществом Банка "Финансовая Корпорация Открытие" );                                                                                                             (+) 200,0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(-)123,2 тыс.рублей - уменьшен объем бюджетных ассигнований путем перераспределения(средства местного бюджета);                                                                                                                                                      (+) 5,0 тыс.рублей - увеличен объем бюджетных ассигнований путем перераспредления (средства местного бюджета).</t>
  </si>
  <si>
    <t>(+)123,2 тыс.рублей - увеличен объем бюджетных ассигнований путем перераспределения на оплату услуг по доступу  к сети Интернет (средства местного бюджета)</t>
  </si>
  <si>
    <t>(-) 2,8 тыс.рублей - уменьшен объем бюджетных ассигнований по выполнению полномочий и функций Департамента муниципальной собственности администрации города в установленных сферах деятельности (средства местного бюджета).</t>
  </si>
  <si>
    <t>(+) 14 949,8 тыс. рублей -увеличен объем бюджетных ассигнований на строительство мемориального комплекса "Аллея Славы"  (из них: 9 208,4 тыс.рублей - средства бюджета автономного округа; 3 498,9 тыс.рублей - средства федерального бюджета; 2 242,5 тыс.рублей - средства местного бюджета)</t>
  </si>
  <si>
    <t xml:space="preserve">(-) 723,5 тыс. рублей -уменьшен объем бюджетных ассигнований по строительству мемориального комплекса "Аллея Славы"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(+) 1 500,0 тыс. рублей -увеличен объем бюджетных ассигнований на строительство мемориального комплекса "Аллея Славы"  (средства бюджета автономного округа наказы избирателей);                                                                                                                                                                                                         (+) 193,0 тыс.рублей - увеличен объем бюджетных ассигнований на выполнение проектно-сметной документации по строительству площади в пгт.Высокий (средства местного бюджета);                                                                                                                                                         (-) 494,3 тыс. рублей -уменьшен объем бюджетных ассигнований на выполнение проектно-сметной документации по устройству объемной световой композиции на первом кольце транспортной развязки (средства местного бюджета);                                                            (+) 176,1 тыс.рублей - увеличен объем бюджетных ассигнований на благоустройство мемориала "Вечный огонь "Звездочка" в пгт.Высокий (средства местного бюджета)   </t>
  </si>
  <si>
    <t>основное мероприятие "Строительство городского кладбища"</t>
  </si>
  <si>
    <t>(+) 8 654,0 тыс.рублей-увеличен объем бюджетных ассигнований на строительство городского кладбища (средства местного бюджета - за счет дотации за развитие практик инициативного бюджетирования)</t>
  </si>
  <si>
    <t xml:space="preserve">(+) 204,0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       (+) 6,2 тыс.рублей - увеличен объем бюджетных ассигнований  для выплаты денежного содержания работнику за исполнение обязанностей заместителя главы города по социальной политике;                                                                                                                                                     (-) 14,2 тыс. рублей  - уменьшен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                                                                   (-) 63,4 тыс. рублей - уменьшен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    </t>
  </si>
  <si>
    <t xml:space="preserve">(+) 204,0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(-) 3599,0 тыс. рублей - перераспределен госстандарт на планету;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14,2 тыс. рублей увеличен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(+) 63,4 тыс. рублей увеличен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                                                                                                                            </t>
  </si>
  <si>
    <t>(+) 512,1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(+) 14,2 тыс. рублей увеличен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                                                                  (+) 63,4 тыс. рублей увеличен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</t>
  </si>
  <si>
    <t>(+) 512,1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(+) 14,2 тыс. рублей увеличен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                                                              (+) 63,4 тыс. рублей увеличен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</t>
  </si>
  <si>
    <t>(+) 282,7 тыс.рублей - увеличен объем бюджетных ассигнований на оказание услуг связи единой дежурно-диспетчерской службы (средства местного бюджета).</t>
  </si>
  <si>
    <t xml:space="preserve">(-) 52,0 тыс.рублей - уменьшен объем бюджетных ассигнований по выкупу жилых помещений (средства местного бюджета);                       </t>
  </si>
  <si>
    <t xml:space="preserve">(+) 43,0 тыс.рублей - увеличен объем бюджетных ассигнований на выполнение проектно-сметной документации по ремонту автомобильной дороги местного значения по улицам Нефтяников, Садовая, Новая, Строителей города 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99,5 тыс.рублей - увеличен объем бюджетных ассигнований на выполнение проектно-сметной документации по ремонту автомобильной дороги местного значения по улицам Новая, Губкина, Ленина города Мегиона (средства местного бюджета);                                                                                                                                   (+) 937,2 тыс.рублей - увеличен объем бюджетных ассигнований на предоставление транспортных услуг по перевозке пассажиров на маршрутной сети (средства местного бюджета)      </t>
  </si>
  <si>
    <t xml:space="preserve">(-) 916,4 тыс. рублей - уменьшен объем бюджетных ассигнований по уходу за газонами, закупки, посадки и уходу за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(-) 22,3 тыс. рублей - уменьшен объем бюджетных ассигнований по обслуживанию сетей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(-) 4,7 тыс. рублей - уменьшен объем бюджетных ассигнований по содержанию кладбища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тыс.рублей-увеличен объем бюджетных ассигнований на предоставление субсидии в форме грантов победителям конкурса поддержки местных инициатив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(+) 8 654,0 тыс.рублей-увеличен объем бюджетных ассигнований на строительство городского кладбища (средства местного бюджета - за счет дотации за развитие практик инициативного бюджетирования)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</si>
  <si>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91,1 тыс.рублей - увеличен объем бюджетных ассигнований на выполнение проектно-сметной документации по ремонту внутриквартальных проездов и площадок 14 микрорайона в границах улиц Новая-Победы-Геологов г.Мегиона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10 126,6 тыс. рублей -уменьшен объем бюджетных ассигнований по благоустройству дворовых территорий (их них: 3 357,0 тыс.рублей - средства федерального бюджета; 5 250,6 тыс.рублей - средства бюджета автономного округа; 1 519,0 тыс.рублей - средства местного бюджета) </t>
  </si>
  <si>
    <t>(+) 400,0 тыс. рублей -увеличен объем бюджетных ассигнований на развитие юноармейского движения (приобретение формы, снаряжения, оборудования) (благотворительные пожертвования ОАО "СН-МНГ" - соглашение о благотворительной деятельности №15 от 27.03.2019)</t>
  </si>
  <si>
    <t>(+) 123,2 тыс.рублей - увеличен объем бюджетных ассигнований путем перераспределения на оплату услуг по доступу  к сети Интернет в МБУ "Централизованная библиотечная система"(средства местного бюджета).</t>
  </si>
  <si>
    <t>(-) 10,8 тыс.рублей - уменьшен объем бюджетных ассигнований на поддержку отрасли культуры ( средства федерального бюджета - 1,8 тыс. рублей,средства автономного округа- 9,0 тыс.рублей );                                                                                                                          (+) 50,0 тыс. рублей -увеличен объем бюджетных ассигнований на проведение праздников (благотворительная помощь - соглашение о сотрудничестве между администрацией города и Публичным акционерным обществом Банка "Финансовая Корпорация Открытие" 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123,2 тыс.рублей - уменьшен объем бюджетных ассигнований путем перераспределения для оплаты услуг по доступу  к сети Интернет МБУ "Централизованная библиотечная система" (средства местного бюджета);                                                                                                                                                      (+) 5,0 тыс.рублей - увеличен объем бюджетных ассигнований путем перераспредления для приобретения компьютерной техники в МАУ "Театр музыки" (средства местного бюджета).</t>
  </si>
  <si>
    <t>(+) 435,0 тыс. рублей -увеличен объем бюджетных ассигнований для денежных выплат участникам ВОВ 1941-1945, инвалидам, вдовам, детям участников ВОВ 1941-1945, труженикам тыла, узникам концлагерей (благотворительное пожертвование Фонда "Меценат")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26.04.2019 №433-рп);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1 050,0 -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18.04.2019 №386-рп);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5,0 тыс. рублей - уменьшен объем бюджетных ассигнований путем перераспредления для приобретения компьютерной техники в МАУ "Театр музыки"(средства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- уменьшен объем бюджетных ассигнований в целях реализации на территории муниципального образования  город Мегион проектов инициативного бюджетирования в 2019 году.</t>
  </si>
  <si>
    <t xml:space="preserve">(+) 15 726,3 тыс. рублей -увеличен объем бюджетных ассигнований на строительство мемориального комплекса "Аллея Славы"  (из них: 9 208,4 тыс.рублей - средства бюджета автономного округа; 3 498,9 тыс.рублей - средства федерального бюджета;  1 519,0 тыс. рублей - средства местного бюджета; 1 500,0 тыс. рублей - средства бюджета автономного округа наказы избирателей);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193,0 тыс. рублей - увеличен объем бюджетных ассигнований на выполнение проектно-сметной документации по строительству площади в пгт.Высокий (средства местного бюджета);                                                                                                                                                         (-) 494,3 тыс. рублей -уменьшен объем бюджетных ассигнований на выполнение проектно-сметной документации по устройству объемной световой композиции на первом кольце транспортной развязки (средства местного бюджета);                                                            (+) 176,1 тыс.рублей - увеличен объем бюджетных ассигнований на благоустройство мемориала "Вечный огонь "Звездочка" в пгт.Высокий (средства местного бюджета)   </t>
  </si>
  <si>
    <t>(+) 50,0 тыс. рублей -увеличен объем бюджетных ассигнований на проведение праздников (благотворительная помощь - соглашение о сотрудничестве между администрацией города и Публичным акционерным обществом Банка "Финансовая Корпорация Открытие");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501,2 тыс. рублей - увеличен объем бюджетных ассигнований на проведение спортивных мероприятий, участие в соревнованиях для МБУ ДО «ДЮСШ «Вымпел» (средства резервного фонда Правительства Тюменской области, расп. №393-рп-рп от 18.04.2019).</t>
  </si>
  <si>
    <t>(-) 10,8 тыс.рублей - уменьшен объем бюджетных ассигнований на поддержку отрасли культуры в части комплектования книжных фондов библиотек ( средства федерального бюджета - 1,8 тыс. рублей,средства автономного округа- 9,0 тыс.рублей );                                                                                                                          (+) 50,0 тыс. рублей -увеличен объем бюджетных ассигнований на проведение праздников (благотворительная помощь - соглашение о сотрудничестве между администрацией города и Публичным акционерным обществом Банка "Финансовая Корпорация Открытие" 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123,2 тыс.рублей - уменьшен объем бюджетных ассигнований путем перераспределения для оплаты услуг по доступу  к сети Интернет МБУ "Централизованная библиотечная система" (средства местного бюджета);                                                                                                                                                      (+) 5,0 тыс.рублей - увеличен объем бюджетных ассигнований путем перераспредления для приобретения компьютерной техники в МАУ "Театр музыки" (средства местного бюджета).</t>
  </si>
  <si>
    <t>(+) 14 949,7 тыс. рублей -увеличен объем бюджетных ассигнований на строительство мемориального комплекса "Аллея Славы"  (из них: 9 208,4 тыс.рублей - средства бюджета автономного округа; 3 498,9 тыс.рублей - средства федерального бюджета; 2 242,4 тыс.рублей - средства местного бюджета)</t>
  </si>
  <si>
    <t xml:space="preserve">(+) 204,0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(-) 3599,0 тыс. рублей - перераспределен госстандарт на планету;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14,2тыс. рублей увеличен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(-) 63,4 тыс. рублей увеличен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                                                                                                                            </t>
  </si>
  <si>
    <t xml:space="preserve">(+) 204,0 тыс. рублей -увеличен объем бюджетных ассигнований за счет иных межбюджетные трансферты на реализацию наказов избирателей депутатам Думы ХМАО-Югры (средства автономного округа);                                                                                                                             (+) 6,3 тыс.рублей - увеличен объем бюджетных ассигнований  для выплаты денежного содержания работнику за исполнение обязанностей заместителя главы города по социальной политике;                                                                                                                                                     (-) 14,2 тыс. рублей  - уменьшен объем бюджетных ассигнований на подготовку учреждений к осенне-зимнему периоду путем перераспределения (местный бюджет);                                                                                                                                                                                                              (-) 63,4 тыс. рублей - уменьшен объем бюджетных ассигнований на реализацию мероприятий, направленные на антитеррорестическую защищенность объектов в сфере образования путем перераспределения (местный бюджет).    </t>
  </si>
  <si>
    <t xml:space="preserve">(-) 1 747,8 тыс. рублей - уменьшен объем бюджетных ассигнований по уходу за газонами, закупки, посадки и уходу за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(-) 22,3 тыс. рублей - уменьшен объем бюджетных ассигнований по обслуживанию сетей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(-) 4,7 тыс. рублей - уменьшен объем бюджетных ассигнований по содержанию кладбища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2 323,7 тыс.рублей-увеличен объем бюджетных ассигнований на предоставление субсидии в форме грантов победителям конкурса поддержки местных инициатив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</si>
  <si>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1 747,8 тыс. рублей - уменьшен объем бюджетных ассигнований по уходу за газонами, закупки, посадки и уходу за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(-) 22,3 тыс. рублей - уменьшен объем бюджетных ассигнований по обслуживанию сетей уличного освещения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(-) 4,7 тыс. рублей - уменьшен объем бюджетных ассигнований по содержанию кладбища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2 323,7 тыс.рублей-увеличен объем бюджетных ассигнований на предоставление субсидии в форме грантов победителям конкурса поддержки местных инициатив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(+) 8 654,0 тыс.рублей-увеличен объем бюджетных ассигнований на строительство городского кладбища (средства местного бюджета - за счет дотации за развитие практик инициативного бюджетирования)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</si>
  <si>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2,8 тыс. рублей - уменьшен объем бюджетных ассигнований по обслуживанию пожарных гидрантов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(-) 1 292,2 тыс. рублей - уменьшен объем бюджетных ассигнований по газификации школы на 300 учащихся в п.Высокий (средства местного бюджета)</t>
  </si>
  <si>
    <t>(+) 263,7 тыс.рублей - увеличен объем бюджетных ассигнований для выплаты выходного пособия, земельного налога в связи с ликвидацией МКУ "Дирекция по эксплуатации имущества"</t>
  </si>
  <si>
    <t>(+) 435,0 тыс. рублей -увеличен объем бюджетных ассигнований для денежных выплат участникам ВОВ 1941-1945, инвалидам, вдовам, детям участников ВОВ 1941-1945, труженикам тыла, узникам концлагерей (благотворительное пожертвование Фонда "Меценат")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26.04.2019 №433-рп);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1 050,0 -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18.04.2019 №386-рп);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5,0 тыс. рублей - уменьшен объем бюджетных ассигнований путем перераспредления для приобретения компьютерной техники в МАУ "Театр музыки"(средства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- уменьшен объем бюджетных ассигнований в целях реализации на территории муниципального образования  город Мегион проектов инициативного бюджетирования в 2019 году;                                                                                                                 (+) 200,0 тыс.рублей - увеличен объем бюджетных ассигнований на проведение мероприятий (благотворительная помощь Публичного акционерного общества Банка "Финансовая Корпорация Открытие").</t>
  </si>
  <si>
    <t>(+) 435,0 тыс. рублей -увеличен объем бюджетных ассигнований для денежных выплат участникам ВОВ 1941-1945, инвалидам, вдовам, детям участников ВОВ 1941-1945, труженикам тыла, узникам концлагерей (благотворительное пожертвование Фонда "Меценат")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тыс.рублей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26.04.2019 №433-рп);                                                                                                                                                                                                                           (+) 1 050,0 - увеличен объем бюджетных ассигнований за счет средств резервного фонда Правительства Тюменской области на приобретение рекламных конструкций для МАУ "Региональный историко-культурный и экологический центр"(распоряжение от 18.04.2019 №386-рп);                                                                                                                                                                         (-) 5,0 тыс.рублей - уменьшен объем бюджетных ассигнований путем перераспредления (средства местного б.джета);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тыс.рублей - уменьшен объем бюджетных ассигнований в целях реализации на территории муниципального образования  город Мегион проектов инициативного бюджетирования в 2019 году;                                                                                                                               (+) 200,0 тыс.рублей - увеличен объем бюджетных ассигнований на проведение мероприятий (благотворительная помощь Публичного акционерного общества Банка "Финансовая Корпорация Открытие").</t>
  </si>
  <si>
    <t xml:space="preserve">(+) 15 726,2 тыс. рублей -увеличен объем бюджетных ассигнований на строительство мемориального комплекса "Аллея Славы"  (из них: 9 208,4 тыс.рублей - средства бюджета автономного округа; 3 498,9 тыс.рублей - средства федерального бюджета;  1 518,9 тыс. рублей - средства местного бюджета; 1 500,0 тыс. рублей - средства бюджета автономного округа наказы избирателей);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193,0 тыс. рублей - увеличен объем бюджетных ассигнований на выполнение проектно-сметной документации по строительству площади в пгт.Высокий (средства местного бюджета);                                                                                                                                                         (-) 494,3 тыс. рублей -уменьшен объем бюджетных ассигнований на выполнение проектно-сметной документации по устройству объемной световой композиции на первом кольце транспортной развязки (средства местного бюджета);                                                                            (+) 176,1 тыс.рублей - увеличен объем бюджетных ассигнований на благоустройство мемориала "Вечный огонь "Звездочка" в пгт.Высокий (средства местного бюджета)   </t>
  </si>
  <si>
    <t>(-) 2,8 тыс. рублей - уменьшен объем бюджетных ассигнований по обслуживанию пожарных гидрантов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(-) 1 292,2 тыс. рублей - уменьшен объем бюджетных ассигнований по газификации школы на 300 учащихся в п.Высокий (средства местного бюджета)</t>
  </si>
  <si>
    <t>(-) 263,7 тыс.рублей - уменьшен объем бюджетных ассигнований по обеспечению деятельности МКУ "Централизованная бухгалтерия"</t>
  </si>
  <si>
    <t>(+) 263,7 тыс.рублей - увеличен объем бюджетных ассигнований для выплаты выходного пособия, земельного налога в связи с ликвидацией МКУ "Дирекция по эксплуатации имущества";                                                                                                                                                              (-) 263,7 тыс.рублей - уменьшен объем бюджетных ассигнований по обеспечению деятельности МКУ "Централизованная бухгалтерия"</t>
  </si>
  <si>
    <t xml:space="preserve">(-) 564,8 тыс.рублей - уменьшен объем бюджетных ассигнований резервного фонда администрации города </t>
  </si>
  <si>
    <t xml:space="preserve">(+) 50,0 тыс.рублей -увеличен объем бюджетных ассигнований для оплаты штрафа (постановление о возбуждении исполнительного производства Управления Федеральной службы судебных приставов по ХМАО-Югре от 06.08.2018 №86007/18/124432);                                                                                                                                      (+) 14,8 тыс. рублей - увеличен объем бюджетных ассигнования для выплаты социального пособия гражданам, пострадавшим в результате пожара;                                                                                                                                                                                                                                         (+) 2,8 тыс.рублей - увеличен объем бюджетных в целях оплаты исполнительных документов по взысканию расходов на приобретенные материалы и ремонт мест общего пользования;                                                                                                                                                        (+) 500,0 тыс.рублей - увеличен объем бюджетных в целях оплаты судебных расходов по исполнительным листам. </t>
  </si>
  <si>
    <t>основное мероприятие "Оказание финансовой поддержки"</t>
  </si>
  <si>
    <t xml:space="preserve">основное мероприятие "Оказание информационной поддержки" </t>
  </si>
  <si>
    <t>(-) 4 600,0 тыс.рублей – уменьшен объем бюджетных ассигнований по выполнению полномочий и функций Департамента муниципальной собственности администрации города в установленных сферах деятельности путем перераспределения на реализацию программных мероприятий муниципальной программы «Развитие системы обращения с отходами производства и потребления на территории городского округа город Мегион на 2019-2025 годы» (средства местного бюджета)</t>
  </si>
  <si>
    <t>(-) 4 600,0 тыс.рублей – уменьшен объем бюджетных ассигнований по выполнению полномочий и функций Департамента муниципальной собственности администрации города в установленных сферах деятельности путем перераспределения на реализацию программных мероприятий муниципальной программы «Развитие системы обращения с отходами производства и потребления на территории городского округа город Мегион на 2019-2025 годы» (средства местного бюджета)                                                 (-) 2,8 тыс.рублей - уменьшен объем бюджетных ассигнований по выполнению полномочий и функций Департамента муниципальной собственности администрации города в установленных сферах деятельности (средства местного бюджета).</t>
  </si>
  <si>
    <t>(-) 16 400,0 тыс.рублей - уменьшен объем бюджетных ассигнований по выполнению полномочий и функций администрации города перераспределения на реализацию программных мероприятий муниципальной программы «Развитие системы обращения с отходами производства и потребления на территории городского округа город Мегион на 2019-2025 годы» (средства местного бюджета)                                                                                                                   (-) 6,2 тыс.рублей - уменьшен объем бюджетных ассигнований  для выплаты  денежного содержания работнику ДОиМП  за исполнение обязанностей заместителя главы города по социальной политике.</t>
  </si>
  <si>
    <t>(-) 16 400,0 тыс.рублей - уменьшен объем бюджетных ассигнований по выполнению полномочий и функций администрации города перераспределения на реализацию программных мероприятий муниципальной программы «Развитие системы обращения с отходами производства и потребления на территории городского округа город Мегион на 2019-2025 годы» (средства местного бюджета)                                                                                                                               (-) 6,2 тыс.рублей - уменьшен объем бюджетных ассигнований  для выплаты  денежного содержания работнику ДОиМП  за исполнение обязанностей заместителя главы города по социальной политике.</t>
  </si>
  <si>
    <t>(+) 21 000,0 тыс.рублей – увеличен объем бюджетных ассигнований на реализацию программных мероприятий в части формирования площадок под мусорные контейнеры, мусорные баки (средства местного бюджета)</t>
  </si>
  <si>
    <t>Решение Думы города Мегиона от 21.06.2019 №362 (уточненный бюджет)                                                      (тыс. рублей)</t>
  </si>
  <si>
    <t>(+) 895,0 тыс. рублей - увеличен объем целевых межбюджетных трансфертов на реализацию наказов избирателей (средства бюджета автономного округа)</t>
  </si>
  <si>
    <t>(+) 5 134,0 тыс. рублей - увеличен объем целевых межбюджетных трансфертов на организацию и обеспечение отдыха и оздоровления детей, в том числе в этнической среде (средства автономного округа)</t>
  </si>
  <si>
    <t>(+) 240,0 тыс. рублей  -увеличен объем бюджетных ассигнований на реализацию мероприятий путем перераспределения (средства местного бюджета)</t>
  </si>
  <si>
    <t>(-)1,9 тыс.рублей уменьшение бюджетных ассигнований путем внутреннего перераспределения (средства местного бюджета)</t>
  </si>
  <si>
    <t>(+) 224,0 тыс. рублей - увеличен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Югры;</t>
  </si>
  <si>
    <t>(-) 685,3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</t>
  </si>
  <si>
    <t xml:space="preserve">(+) 689,12 тыс. рублей – увеличен объем бюджетных ассигнований на реализацию мероприятий по обеспечению жильем молодых семей (из них: 655,01 тыс. рублей – средства бюджета автономного округа; 34,11 тыс. рублей – 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</si>
  <si>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Региональный проект "Культурная среда"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</si>
  <si>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74,9 тыс. рублей – увеличен объем бюджетных ассигнований на выполнение корректировки проектно-сметной документации по объекту «Городское кладбище (2 очередь) (средства местного бюджета)
</t>
  </si>
  <si>
    <t>(-) 6,6 тыс. рублей – уменьшен объем бюджетных ассигнований по реализации мероприятия обеспечение доступности и повышение качества транспортных услуг автомобильным транспортом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</t>
  </si>
  <si>
    <t>(-) 0,1 тыс. рублей – уменьшен объем бюджетных ассигнований по ремонту внутриквартальных проездов и площадок 14 микрорайона в границах улиц Новая – Победы  Геологов г. Мегиона (ПИР)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</t>
  </si>
  <si>
    <t xml:space="preserve">(+) 270,0 тыс. рублей – увеличен объем бюджетных ассигнований на строительство объекта «Аллея трудовой славы в г.Мегионе»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5,7 тыс. рублей – уменьшен объем бюджетных ассигнований по повышению качества и комфорта территорий общего пользования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</si>
  <si>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91,5 тыс. рублей – уменьшен объем бюджетных ассигнований по реализации мероприятий обеспечения выполнения полномочий и функций Департамента муниципальной собственности администрации города в установленных сферах деятельности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4 500,0 тыс. рублей – увеличен объем бюджетных ассигнований на уплату авансовых платежей по земельному налогу за 2019 год (средства местного бюджета);
</t>
  </si>
  <si>
    <t>(+) 7 159,9 тыс рублей - увеличен объем бюджетных ассигнований в целях финансового обеспечения деятельности вновь созданного подведомственного МКУ «Управление жилищно-коммунального хозяйства» (средства местного бюджета);</t>
  </si>
  <si>
    <t xml:space="preserve">(+) 479,8 тыс. рублей – увеличен объем бюджетных ассигнований на ремонт кабинетов административного здания ул.Нефтяников, 8 </t>
  </si>
  <si>
    <t>(+) 275,2 тыс. рублей - увеличен объем бюджетных ассигнований для приобретения жалюзи.</t>
  </si>
  <si>
    <t>(+) 150,0  тыс. рублей – увеличен объем бюджетных ассигнований  на реализацию мероприятий в области молодежной политики путем перераспределения (местный бюджет)</t>
  </si>
  <si>
    <t>(+) 638,1 тыс. рублей - увеличен объем БА</t>
  </si>
  <si>
    <t>(+) 910,6 тыс. рублей - увеличен объем бюджетных ассигнований путем перераспределения в целях проведения программных мероприятий по подготовке учреждений к осенне-зимнему сезону, мероприятий направленных на антитеррористическую защищенность объектов в сфере образования и другие</t>
  </si>
  <si>
    <t xml:space="preserve">(-) 90,2 тыс. рублей – уменьшен объем бюджетных ассигнований по оснащению индивидуальными и общедомовыми приборами учета энергоресурсов жилого фонда (средства местного бюджета);                                                                                                                                                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</si>
  <si>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</si>
  <si>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(-) 8 274,1 тыс. рублей - уменьшен объем бюджетных ассигнований в целях реализации 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(отсыпка территории), осуществляемых за счет средств целевых межбюджетных трансфертов автономного округа</t>
  </si>
  <si>
    <t>(+) 8 274,1 тыс. рублей - увеличен объем бюджетных ассигнований в целях реализации мероприятия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(отсыпка территории), осуществляемых за счет средств целевых межбюджетных трансфертов автономного округа</t>
  </si>
  <si>
    <t>(+) 500,0 тыс. рублей  -увеличен объем бюджетных ассигнований на реализацию мероприятий, направленных на организацию и проведение спортивно-массовых мероприятий, иных мероприятий в области физической культуры и спорта -средства местного бюджета (приложение 1)</t>
  </si>
  <si>
    <t>(-) 306,0 тыс. рублей - уменьшен объем бюджетных ассигнований средств компенсации расходов на оплату стоимости проезда и провоза багажа к месту использования отпуска и обратно в связи с образовавшей экономией (местный бюджет) (приложение 1).</t>
  </si>
  <si>
    <t>(+) 100,0 тыс. рублей  -увеличен объем бюджетных ассигнований на приобретение рекламных конструкций для МАУ «Региональный историко-культурный и экологический центр» (распоряжение от 03.06.2019 №600-рп);                                                                                                                                                                                                                                                (-) 1 127,1 тыс.рублей - уменьшен объем бюджетных ассигнований путем внутреннего перераспределения (средства местного бюджета).</t>
  </si>
  <si>
    <t xml:space="preserve">(-) 451,9 тыс. рублей –  уменьшен объем бюджетных ассигнований по резервным фондам (средства местного бюджета);    </t>
  </si>
  <si>
    <t>(-) 300,0 тыс. рублей - уменьшен объем бюджетных обязательств монтаж технологических средств организации дорожного движения на улично-дорожной сети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1,8 тыс. рублей – уменьшен объем бюджетных обязательств по монтажу технологических средств организации дорожного движения на улично-дорожной сети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– увеличен объем бюджетных ассигнований на выполнение работ по восстановление опоры правоохранительного сегмента АПК «Безопасный город»;</t>
  </si>
  <si>
    <t>(-) 21,5 тыс. рублей – уменьшен объем бюджетных ассигнований по реализации мероприятия строительство (реконструкция), капитальный ремонт и ремонт автомобильных дорог общего пользования местного значения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</t>
  </si>
  <si>
    <t>(-) 677,7 тыс. рублей – уменьшен объем бюджетных ассигнований по выполнению строительно-монтажных работ по объекту «Газификация школы на 300 учащихся (ул.Свободы) (общеобразовательная организация с универсальной безбарьерной средой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297,3 тыс. рублей – уменьшен объем бюджетных ассигнований по обслуживанию пожарных гидрантов (средства местного бюджета);</t>
  </si>
  <si>
    <t>(-) 14 404,1 тыс. рублей - уменьшен объем целевых межбюджетных трансфертов по строительству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758,1 тыс. рублей - уменьшен объем бюджетных ассигнований доли софинансирования по отозванному объему бюджетных ассигнований субсидии на строительство спортивного комплекса с плоскостными сооружениями (средства местного бюджета).</t>
  </si>
  <si>
    <t>(+) 157,3 тыс. рублей - увеличен объем бюджетных ассигнований  на услуги каналов связи (средства местного бюджета).</t>
  </si>
  <si>
    <t>(+) 2 704,3 тыс. рублей - увеличен объем бюджетных ассигнований  на оплату труда и начисления на оплату труда, поощрительная выплата в связи с с назначением пенсии за выслугу лет, единовременное пособие при уходе на пенсию по старости лет, льготный проезд (средства местного бюджета) .</t>
  </si>
  <si>
    <t>(+) 7 000,0 тыс. рублей - увеличен объем бюджетных ассигнований на содержание и текущий ремонт автомобильных дорог, проездов, элементов обустройства улично-дорожной сети объектов внешнего благоустройства городского округа город Мегион (средства местного бюджета).</t>
  </si>
  <si>
    <t>(+) 79,1 тыс. рублей – увеличен объем бюджетных ассигнований на субсидии на возмещение недополученных доходов организациям, осуществляющим вывоз ЖБО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2 618,9 тыс. рублей - увеличен объем бюджетных ассигнований на субсидию на откачку и вывоз ЖБО (средства местного бюджета).</t>
  </si>
  <si>
    <t>(-) 1 414,9 тыс. рублей – увеличен объем бюджетных ассигнований в целях финансового обеспечения деятельности вновь созданного подведомственного МКУ «Управление жилищно-коммунального хозяйства»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в целях оплаты взносов на оплату труда во внебюджетные фонды РФ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6 000,0 тыс. рублей - увеличен объем бюджетных ассигнований на оплату труда и начисления на ФОТ МКУ "СО".</t>
  </si>
  <si>
    <t xml:space="preserve">(-) 514,7 тыс. рублей - уменьшен объем бюджетных ассигнований по совершенствованию системы муниципального стратегического управления (средства местного бюджета). </t>
  </si>
  <si>
    <t>(+) 500,0 тыс. рублей  -увеличен объем бюджетных ассигнований на реализацию мероприятий, направленных на организацию и проведение спортивно-массовых мероприятий, иных мероприятий в области физической культуры и спорта -средства местного бюджета (приложение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895,0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(-) 14 404,1 тыс. рублей - уменьшен объем целевых межбюджетных трансфертов по строительству объекта капитального строительства "СК с универсальным игровым залом и плоскостными спортивными сооружениями"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758,1 тыс. рублей - уменьшен объем бюджетных ассигнований доли софинансирования по отозванному объему бюджетных ассигнований субсидии на строительство спортивного комплекса с плоскостными сооружениями (средства местного бюджета).</t>
  </si>
  <si>
    <t>(+) 20,3 тыс.рублей - увеличен объем бюджетных ассигнований в целях содействия развитию социальной рекламы деятельности социально-ориентированных некоммерческих организаций в средствах массовой информации.</t>
  </si>
  <si>
    <t>(+) 2 704,3 тыс. рублей - увеличен объем бюджетных ассигнований  на оплату труда и начисления на оплату труда, поощрительная выплата в связи с с назначением пенсии за выслугу лет, единовременное пособие при уходе на пенсию по старости лет, льготный проезд (средства местного бюджета).</t>
  </si>
  <si>
    <t>(-) 20,3 тыс.рублей - уменьшен объем бюджетных ассигнований в целях содействия развитию социальной рекламы деятельности социально-ориентированных некоммерческих организаций в средствах массовой информации;                                                                                                                                                                                                                                                        (+)250,0 тыс.рублей - увеличен объем бюджетных ассигнований на приобретение компьютерного оборудования для МКУ «Информационное агентство «Мегионские новости» (распоряжение от 04.10.2019 №1260-рп);                                                                                                                                                                                                                  (+) 350,0 тыс.рублей - увеличен объем бюджетных ассигнований на увеличение объема печати выпусков газеты "Мегионские новости".</t>
  </si>
  <si>
    <t>(-) 249,0  тыс. рублей – уменьшен объем бюджетных ассигнований путем перераспределения (местный бюджет);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752,0  тыс. рублей – увеличен объем бюджетных ассигнований  на оплату налогов (местный бюджет) (согл. приложение 1)</t>
  </si>
  <si>
    <t>(-) 12 730,0 тыс. рублей - уменьшен объем бюджетных ассигнований в результате экономии средств по реализации подпрограммы "Адресная программа по ликвидации и расселению строений, приспособленных для проживания, расположенных на территории городского округа город Мегион" (доля софинансирования местного бюджета).</t>
  </si>
  <si>
    <t>(-) 21,5 тыс. рублей – уменьшен объем бюджетных ассигнований по реализации мероприятия строительство (реконструкция), капитальный ремонт и ремонт автомобильных дорог общего пользования местного значения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6,6 тыс. рублей – уменьшен объем бюджетных ассигнований по реализации мероприятия обеспечение доступности и повышение качества транспортных услуг автомобильным транспортом (средства местного бюджета);</t>
  </si>
  <si>
    <t>(-) 604,4 тыс. рублей - уменьшен объем бюджетных ассигнований на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12 788,2 тыс. рублей увеличен объем бюджетных ассигнований на повышение эффективности использования и развитие ресурсного потенциала рыбохозяйственного комплекса;                                                                                                                                                                                                        (-) 173,0 тыс. рублей – уменьшен объем бюджетных ассигнований на организацию профессионального обучения и дополнительного профессионального образования лиц предпенсионного возраста (средства бюджета автономного округа -8,6 тыс. рублей, средства федерального бюджета - 164,4 тыс. рублей).</t>
  </si>
  <si>
    <t>(-) 2 235,9 тыс. рублей – 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ценам;</t>
  </si>
  <si>
    <t>(+) 6 137,2 тыс. рублей – увеличен объем бюджетных ассигнований на обеспечение устойчивого сокращения непригодного для проживания жилищного фонда, за счет средств бюджета автономного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(+) 3 923,8 тыс. рублей – увеличен объем бюджетных ассигнований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757,3 тыс. рублей – увеличен объем бюджетных ассигнований по реализации мероприятий по переселению граждан из аварийного жилищного фонда для обеспечения доли софинансирования (средства местного бюджета);</t>
  </si>
  <si>
    <t>(+) 177 234,5 тыс. рублей – увеличен объем бюджетных ассигнований на реализацию полномочий в области жилищных отношений (переселение граждан из непригодного для проживания жилищного фонда)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757,3 тыс. рублей – уменьшен объем бюджетных обязательств на обеспечение устойчивого сокращения непригодного для проживания жилищного фонда в целях обеспечения доли софинансирования (средства местного бюджета);                                                                                                                                                                   (-) 4 500,0 тыс. рублей – уменьшен объем бюджетных ассигнований по переселению граждан из непригодного для проживания жилищного фонда в целях оплаты авансовых платежей по земельному налогу за 2019 год в рамка муниципальной программы "Управление муниципальным имуществом городского округа город Мегион на 2019-2025 годы"(средства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– уменьшен объем бюджетных ассигнований по выкупу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229,8 тыс. рублей – уменьшен объем бюджетных ассигнований по оценке рыночной стоимости жилого недвижимого имущества,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17 000,0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18 605,8 тыс. рублей - увеличен объем бюджетных ассигнований на реализацию полномочий в области жилищных отношений  (доля софинансирование из средств местного бюджета);                                                                                                                                                                                                                                   (+) 1 100,0 тыс. рублей - увеличен объем бюджетных ассигнований на определение мегионского городского суда о мировом соглашении о принудительном изъятии объекта недвижимости и выплате возмещения (средства местного бюджета).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</si>
  <si>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270,0 тыс. рублей – уменьшен объем бюджетных ассигнований реализации мероприятия по ремонту и содержанию площадей и скверов на реализацию программных мероприятий муниципальной программы «Формирование современной городской среды городского округа город Мегион на 2019-2025 годы»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417,0 тыс. рублей – увеличен объем бюджетных ассигнований на субсидии, предоставляемые в форме грантов победителям конкурса поддержки местных инициатив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85,1 тыс. рублей – уменьшен объем бюджетных ассигнований реализации мероприятия обеспечение единого порядка содержания объектов внешнего благоустройства (в том числе с применением инициативного бюджетирования)(средства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(+) 300,0 тыс. рублей – увеличен объем бюджетных ассигнований на реализацию мероприятий по уходу за газонами и цветниками (средства местного бюджета);
(-) 39,4 тыс. рублей – уменьшен объем бюджетных ассигнований по ремонту и содержанию площадей и скверов на реализацию мероприятий по уходу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(+) 200,0 тыс. рублей – увеличен объем бюджетных ассигнований на снос гаражей, сараев, балков, жилых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2 052,5 тыс. рублей – уменьшен объем бюджетных ассигнований по уходу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1 250,0 тыс. рублей – увеличен объем бюджетных ассигнований на потребление электроэнергии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1 056,5 тыс. рублей – увеличен объем бюджетных ассигнований на подготовку объектов к новогодним мероприятиям (средства местного бюджета;                                                                                                                                                                                                                     
</t>
  </si>
  <si>
    <t xml:space="preserve">(-) 194,5 тыс. рублей – уменьшен объем бюджетных ассигнований по капитальному ремонту, реконструкции и ремонту муниципального жилищного фонда городского округа город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</si>
  <si>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194,5 тыс. рублей – уменьшен объем бюджетных ассигнований по капитальному ремонту, реконструкции и ремонту муниципального жилищного фонда городского округа город Мегион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</si>
  <si>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44,2 тыс. рублей – уменьшен объем бюджетных ассигнований за счет экономии средств в результате проведения конкурсных процедур на заключение муниципальных контрактов (средства местного бюджета).</t>
  </si>
  <si>
    <t xml:space="preserve">(+) 37,1 тыс. рублей - увеличен объем бюджетных ассигнований на поверку камер видеофиксации правоохранительного комплекса АПК "Безопасный город"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(-)748,8 тыс. рублей - уменьшен объем бюджетных ассигнований по приобретению и установке камер видеонаблюдений, рассылка постановлений (средства местного бюджета);  </t>
  </si>
  <si>
    <t xml:space="preserve">(+) 3 184,6 тыс. рублей – увеличен объем бюджетных ассигнований по оплате труда и начислениям на фонд оплаты труда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</si>
  <si>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9 798,0 тыс. рублей – увеличен объем бюджетных ассигнований на обустройство мест (площадок) накопления твердых коммунальных отходов (из них: 5 180,0 тыс. рублей – средства резервного фонда Правительства ХМАО - Югры; 4 618,0 тыс. рублей – средства местного бюджета);                                                                                                                                                                                          (-) 14 948,0 тыс. рублей – уменьшен объем бюджетных ассигнований с реализации мероприятия по снижению и ликвидации вредного воздействия отходов производства и потребления на окружающую среду и здоровье населения (средства местного бюджета);                                                                                                                                                                                          (-) 5,0 тыс. рублей – уменьшен объем бюджетных ассигнований на выполнение работ по подготовке муниципального образования к новогодним мероприятиям в рамках муниципальной программы "Развитие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</si>
  <si>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(-) 1,8 тыс. рублей – уменьшен объем бюджетных обязательств по монтажу технологических средств организации дорожного движения на улично-дорожной сети на субсидии на возмещение недополученных доходов организациям, осуществляющим вывоз ЖБО в рамках реализации муниципальной программы «Развитие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</t>
  </si>
  <si>
    <t>(-) 677,7 тыс. рублей – уменьшен объем бюджетных ассигнований по выполнению строительно-монтажных работ по объекту «Газификация школы на 300 учащихся (ул.Свободы) (общеобразовательная организация с универсальной безбарьерной средой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297,3 тыс. рублей – уменьшен объем бюджетных ассигнований по обслуживанию пожарных гидрантов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2 698,0 тыс. рублей – увеличен объем бюджетных ассигнований на субсидии на возмещение недополученных доходов организациям, осуществляющим вывоз ЖБО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2 235,9 тыс. рублей – 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 (средства автономного округа).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</si>
  <si>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в целях оплаты взносов на оплату труда во внебюджетные фонды РФ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6 000,0 тыс. рублей - увеличен объем бюджетных ассигнований на оплату труда и начисления на ФОТ МКУ "СО"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5 745,0 тыс рублей - увеличен объем бюджетных ассигнований в целях финансового обеспечения деятельности вновь созданного подведомственного МКУ «Управление жилищно-коммунального хозяйства» (средства местного бюджета);             </t>
  </si>
  <si>
    <t xml:space="preserve">(+) 3 184,6 тыс. рублей – увеличен объем бюджетных ассигнований по оплате труда и начислениям на фонд оплаты труда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91,5 тыс. рублей – уменьшен объем бюджетных ассигнований по реализации мероприятий обеспечения выполнения полномочий и функций Департамента муниципальной собственности администрации города в установленных сферах деятельности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4 500,0 тыс. рублей – увеличен объем бюджетных ассигнований на уплату авансовых платежей по земельному налогу за 2019 год (средства местного бюджета);                                                                                                                                                                                                                                 (+) 479,8 тыс. рублей – увеличен объем бюджетных ассигнований на ремонт кабинетов административного здания ул.Нефтяников, 8 (средства местного бюджета). 
</t>
  </si>
  <si>
    <t>(+) 177 234,5 тыс. рублей – увеличен объем бюджетных ассигнований на реализацию полномочий в области жилищных отношений (переселение граждан из непригодного для проживания жилищного фонда)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757,3 тыс. рублей – уменьшен объем бюджетных обязательств на обеспечение устойчивого сокращения непригодного для проживания жилищного фонда в целях обеспечения доли софинансирования (средства местного бюджета);                                                                                                                                                                   (-) 4 500,0 тыс. рублей – уменьшен объем бюджетных ассигнований по переселению граждан из непригодного для проживания жилищного фонда в целях оплаты авансовых платежей по земельному налогу за 2019 год в рамка муниципальной программы "Управление муниципальным имуществом городского округа город Мегион на 2019-2025 годы"(средства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200,0 тыс. рублей – уменьшен объем бюджетных ассигнований по выкупу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229,8 тыс. рублей – уменьшен объем бюджетных ассигнований по оценке рыночной стоимости жилого недвижимого имущества, жилых помещений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17 000,0 тыс. рублей - увеличен объем бюджетных ассигнований на выкуп нежилых помещений АНО "Институт развития города Мегиона"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18 605,8 тыс. рублей - увеличен объем бюджетных ассигнований на реализацию полномочий в области жилищных отношений  (доля софинансирование из средств местного бюджета);                                                                                                                                                                      (+) 6 137,2 тыс. рублей – увеличен объем бюджетных ассигнований на обеспечение устойчивого сокращения непригодного для проживания жилищного фонда, за счет средств бюджета автономного округа;                                                                                                                                                                                                                                                                                (+) 3 923,8 тыс. рублей – увеличен объем бюджетных ассигнований на обеспечение устойчивого сокращения непригодного для проживания жилищного фонда, за счет средств, поступивших от фонда содействия реформированию жилищно-коммунального хозяйства;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757,3 тыс. рублей – увеличен объем бюджетных ассигнований по реализации мероприятий по переселению граждан из аварийного жилищного фонда для обеспечения доли софинансирования (средства местного бюджета);                                                                                                                                                                                                                       (+) 1 100,0 тыс. рублей - увеличен объем бюджетных ассигнований на определение мегионского городского суда о мировом соглашении о принудительном изъятии объекта недвижимости и выплате возмещения (средства местного бюджета).</t>
  </si>
  <si>
    <t xml:space="preserve">(-) 309,4 тыс. рублей – уменьшен объем бюджетных ассигнований реализации мероприятия по ремонту и содержанию площадей и скверов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417,0 тыс. рублей – увеличен объем бюджетных ассигнований на субсидии, предоставляемые в форме грантов победителям конкурса поддержки местных инициатив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85,1 тыс. рублей – уменьшен объем бюджетных ассигнований реализации мероприятия обеспечение единого порядка содержания объектов внешнего благоустройства (в том числе с применением инициативного бюджетирования)(средства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(+) 200,0 тыс. рублей – увеличен объем бюджетных ассигнований на снос гаражей, сараев, балков, жилых домов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1 752,5 тыс. рублей – уменьшен объем бюджетных ассигнований по уходу за газонами и цветниками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1 250,0 тыс. рублей – увеличен объем бюджетных ассигнований на потребление электроэнергии на уличное освещение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1 056,5 тыс. рублей – увеличен объем бюджетных ассигнований на подготовку объектов к новогодним мероприятиям (средства местного бюджета;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74,9 тыс. рублей – увеличен объем бюджетных ассигнований на выполнение корректировки проектно-сметной документации по объекту «Городское кладбище (2 очередь) (средства местного бюджета).
</t>
  </si>
  <si>
    <t>(+) 20,3 тыс.рублей - увеличен объем бюджетных ассигнований в целях содействия развитию социальной рекламы деятельности социально-ориентированных некоммерческих организаций в средствах массовой информации (средства местного бюджета).</t>
  </si>
  <si>
    <t>(-) 20,3 тыс.рублей - уменьшен объем бюджетных ассигнований в целях содействия развитию социальной рекламы деятельности социально-ориентированных некоммерческих организаций в средствах массовой информации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(+)250,0 тыс.рублей - увеличен объем бюджетных ассигнований на приобретение компьютерного оборудования для МКУ «Информационное агентство «Мегионские новости» (распоряжение от 04.10.2019 №1260-рп);                                                                                                                                                                                                                  (+) 350,0 тыс.рублей - увеличен объем бюджетных ассигнований на увеличение объема печати выпусков газеты "Мегионские новости" (средства местного бюджета)..</t>
  </si>
  <si>
    <r>
      <t xml:space="preserve">(+) 5119,1 тыс. рублей - увеличен объем бюджетных ассигнований на оплату налога на имущество и земельного налога;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2 475,2 тыс. рублей - увеличен объем бюджетных ассигнований на выплату компенсации расходов на оплату стоимости проезда и провоза багажа к месту использования отпуска и обратно работникам учреждений общего образования;                                                                                                                                                   </t>
    </r>
    <r>
      <rPr>
        <b/>
        <sz val="10"/>
        <color theme="9" tint="-0.249977111117893"/>
        <rFont val="Arial"/>
        <family val="2"/>
        <charset val="204"/>
      </rPr>
      <t xml:space="preserve">(+) 1 601,4 тыс. рублей - увеличен объем БА;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  <charset val="204"/>
      </rPr>
      <t>(+) 1 000,0 тыс. рублей - увеличен объем бюджетных ассигнований на оплату услуг по содержанию объекта "Школа на 300 мест, п.Высокий"</t>
    </r>
  </si>
  <si>
    <r>
      <t xml:space="preserve">(-) 1 000,0 тыс. рублей -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                                                                                                                                                                                                                                                         (-) 2 475,2 тыс. рублей - уменьшен объем бюджетных ассигнований на выплату компенсации расходов на оплату стоимости проезда и провоза багажа к месту использования отпуска и обратно работникам учреждений общего образования;                                                                                                          </t>
    </r>
    <r>
      <rPr>
        <b/>
        <sz val="10"/>
        <color theme="9" tint="-0.249977111117893"/>
        <rFont val="Arial"/>
        <family val="2"/>
        <charset val="204"/>
      </rPr>
      <t>(-) 3 326,4 тыс. рублей - уменьшен объем БА</t>
    </r>
  </si>
  <si>
    <r>
      <t xml:space="preserve">(+) 26 100,9 тыс. рублей - увеличен объем целевых межбюджетных трансфертов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>(+) 2 900,1 тыс. рублей - увеличен объем бюджетных ассигнований для обеспечения доли софинансирования 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  </r>
  </si>
  <si>
    <t>(-) 240,0 тыс. рублей  -уменьшен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2 000,0 тыс. рублей  -увеличен объем бюджетных ассигнований на заработную плату и начисления на оплату труда работников муниципальных учреждений (средства местного бюджета)(согл. приложения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597,2 тыс. рублей  -увеличен объем бюджетных ассигнований на оплату налогов (налог на имущество, земельный налог, транспортный налог- средства местного бюджета) (согл. приложения 1);                                                                                                                                                                    (+) 4 000,0 тыс. рублей  -увеличен объем бюджетных ассигнований на содержание вновь вводимого объекта «Спортивный комплекс с универсальным игровым залом и плоскостными сооружениями» (средства местного бюджета) (приложение 1);                                                                                                         (+)1 845,0 тыс. рублей- увеличен объем бюджетных ассигнований на содержание муниципального  учреждения МАУ ДО "ДЮСШ "Вымпел".</t>
  </si>
  <si>
    <t>(+) 2 000,0 тыс. рублей  -увеличен объем бюджетных ассигнований на заработную плату и начисления на оплату труда работников муниципальных учреждений (средства местного бюджета)(согл. приложения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597,2 тыс. рублей  -увеличен объем бюджетных ассигнований на оплату налогов (налог на имущество, земельный налог, транспортный налог- средства местного бюджета) (согл. приложения 1);                                                                                                                                                                  (+) 4 000,0 тыс. рублей  -увеличен объем бюджетных ассигнований на содержание вновь вводимого объекта «Спортивный комплекс с универсальным игровым залом и плоскостными сооружениями» (средства местного бюджета) (приложение 1);                                                                                                         (+)1 845,0 тыс. рублей- увеличен объем бюджетных ассигнований на содержание муниципального  учреждения МАУ ДО "ДЮСШ "Вымпел".</t>
  </si>
  <si>
    <t>(+) 400,0 тыс. рублей – увеличен объем бюджетных ассигнований на организацию и проведение мероприятий в области информатики (средства местного бюджета) (приложение 1);                                                                                                                                                                   (+) 500,0 тыс. рублей - увеличен объем бюджетных ассигнований на приобретение многофункциональных устройств для МБУ «МЦИКТ «Вектор» (распоряжение от 04.10.2019 №1264-рп)(средства местного бюджета).</t>
  </si>
  <si>
    <t>(+) 400,0 тыс. рублей – увеличен объем бюджетных ассигнований на организацию и проведение мероприятий в области информатики (средства местного бюджета) (приложение 1);                                                                                                                                                                      (-) 306,0 тыс. рублей - уменьшен объем бюджетных ассигнований средств компенсации расходов на оплату стоимости проезда и провоза багажа к месту использования отпуска и обратно, в связи с образовавшей экономией (местный бюджет) (приложение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приобретение многофункциональных устройств для МБУ «МЦИКТ «Вектор» (распоряжение от 04.10.2019 №1264-рп)(средства местного бюджета).</t>
  </si>
  <si>
    <t>(+) 305,8 тыс.рублей - увеличен объем бюджетных ассигнований путем перераспределения в целях заключения договоров на физическую охрану объектов МАУ «Региональный историко-культурный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(-) 35,9 тыс.рублей - уменьшен объем бюджетных ассигнований путем перераспределения в целях приобретения интерактивного стола в МАУ «Региональный историко-культурный и экологический центр» (средства местного бюджета);                                                                                                                                                                 (+) 4 550, тыс.рублей - увеличен объем бюджетных ассигнований на заработную плату и начисления на оплату труда работников муниципальных учреждений (средства местного бюджета).;                                                                                                                                                                                                           (+)816,9 тыс.рублей - увеличен объем бюджетных ассигнований на оплату налога на имущества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(+)34,2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(+)164,5 тыс.рублей - увеличен объем бюджетных ассигнований путем перераспределения на заработную плату и начисления на оплату труда работников муниципальных учреждений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3286,6 тыс.рублей - уменьшен объем бюджетных ассигнований за счет экономии (средства местного бюджета).</t>
  </si>
  <si>
    <r>
      <t>(+) 305,8 тыс.рублей - увеличен объем бюджетных ассигнований в целях заключения договоров на физическую охрану объектов МАУ «Региональный историко-культурный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(-) 35,9 тыс.рублей - уменьшен объем бюджетных ассигнований путем перераспределения в целях приобретения интерактивного стола в МАУ «Региональный историко-культурный и экологический центр» (средства местного бюджета);                                                                                                                                                                 (+) 4 550, тыс.рублей -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увеличен объем бюджетных ассигнований на заработную плату и начисления на оплату труда работников муниципальных учреждений;                                                                                                                                                                                                           (+)816,9 тыс.рублей - увеличен объем бюджетных ассигнований на оплату налога на имущества;                                                                                                                                                                                                                                                                                                                                                              (+)34,2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(+)164,5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3454,6 тыс.рублей - уменьшен объем бюджетных ассигнований за счет экономии (средства местного бюджета).</t>
    </r>
  </si>
  <si>
    <t>(+) 281,9 тыс. рублей - увеличен объем бюджетных ассигнований на обеспечение деятельности контрольно-счетной палаты городского округа (оплата труда и начисления на оплату труда) (средства местного бюджета).</t>
  </si>
  <si>
    <t xml:space="preserve">(+) 1 397,6 тыс. рублей - увеличен объем бюджетных ассигнований на оплату труда и начисления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демонтаж опоры правоохранительного сегмента АПК ""Безопасный город"  (средства местного бюджета).
</t>
  </si>
  <si>
    <t xml:space="preserve">(+) 16 400,0 тыс. рублей - увеличен объем бюджетных ассигнований на восстановление объема бюджетных обязательств по оплате труда и начислениям на фонд оплаты труда в связи с доведением целевых межбюджетных трансфертов на обустройство мест (площадок) накопления твердых коммунальных отходов (распоряжение правительства ХМАО-Югры от 21.06.2019 №330-рп, от 27.06.2019 №331-рп) (средства местного бюджета);                                                                                                                                                                                                    (-) 5 745,0 тыс. рублей – уменьшен объем бюджетных ассигнований в целях финансового обеспечения деятельности вновь созданного подведомственного МКУ «Управление жилищно-коммунального хозяйства»  (средства местного бюджета);                                                                                                                                                                                              (+) 257,0 тыс. рублей - увеличен объем бюджетных ассигнований оплата труда и начисления на ФОТ главы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(-) 514,7 тыс. рублей - уменьшен объем бюджетных ассигнований по совершенствованию системы муниципального стратегического управления (средства местного бюджета). </t>
  </si>
  <si>
    <t xml:space="preserve">(+) 1 397,6 тыс. рублей - увеличен объем бюджетных ассигнований на оплату труда и начисления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демонтаж опоры правоохранительного сегмента АПК ""Безопасный город"  (средства местного бюджета).
</t>
  </si>
  <si>
    <t>(+) 16 400,0 тыс. рублей - увеличен объем бюджетных ассигнований на восстановление объема бюджетных обязательств по оплате труда и начислениям на фонд оплаты труда в связи с доведением целевых межбюджетных трансфертов на обустройство мест (площадок) накопления твердых коммунальных отходов (распоряжение правительства ХМАО-Югры от 21.06.2019 №330-рп, от 27.06.2019 №331-рп) (средства местного бюджета);                                                                                                                                                                                                    (-) 5 745,0 тыс. рублей – уменьшен объем бюджетных ассигнований в целях финансового обеспечения деятельности вновь созданного подведомственного МКУ «Управление жилищно-коммунального хозяйства»  (средства местного бюджета);                                                                                                                                                                                              (+) 257 тыс. рублей - увеличен объем бюджетных ассигнований оплата труда и начисления на ФОТ главы города (средства местного бюджета);</t>
  </si>
  <si>
    <t xml:space="preserve">(+) 91,5 тыс. рублей – увеличен объем бюджетных ассигнований рублей на оплату исполнительного документа на взыскание в пользу ООО «Жилищно-эксплуатационная компания» задолженности за оказанные услуги по содержанию и ремонту общего имущества многоквартирного дома по адресу: г.Мегион, ул.Таежна, д.3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2 065,4 тыс. рублей – увеличен объем бюджетных ассигнований для оплаты задолженности ООО «Чистый дом» по исполнительному документу на взыскание платы за коммунальные услуги и жилые помещения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181,9 тыс. рублей – увеличен объем бюджетных ассигнований для социальной выплаты гражданам, пострадавшим в результате пожара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2,5 тыс. рублей - увеличен объем бюджетных ассигнований на единовременные денежные вознаграждения к Почетной грамоте (Думы города и главы города)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270,0 тыс. рублей  - увеличен объем бюджетных ассигнований на исполнение исполнительных документов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1 445,0 тыс. рублей - увеличен объем бюджетных ассигнований на доплаты к пенсии муниципальным служащим (средства местного бюджета); 
</t>
  </si>
  <si>
    <t>(+) 238,0 тыс.рублей - увеличен объем бюджетных ассигнований путем перераспределения для проведения ремонта в МАУ "Дворец искусств"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562,6 тыс.рублей - увеличен объем бюджетных ассигнований путем перераспределения для проведения ремонта в МБУ "ЦБС"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(+)106,6 тыс.рублей - увеличен объем бюджетных ассигнований путем перераспределения в целях приобретения интерактивного стола в МАУ «Региональный историко-культурный и экологический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50,0 тыс.рублей - уменьшен объем бюджетных ассигнований путем перераспределения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(+)1,9 ты.рублей - увеличен объем бюджетных ассигнований путем перераспределения  для оплаты мероприятий по подготовке учреждений к осенне-зимнему периоду (средства местного бюджета);                                                                                                                                                                 (-)34,2 тыс.рублей - уменьшен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164,5 тыс.рублей - уменьшен объем бюджетных средств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(+)168,0 тыс.рублей - увеличен объем бюджетных ассигнований путем перераспределения для реализации мероприятий по подготовке к осенне-зимнему периоду(профилактика и ремонт дверей и окон) (средства местного бюджета).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</si>
  <si>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(+) 238,0 тыс.рублей - увеличен объем бюджетных ассигнований путем перераспределения для проведения ремонта в МАУ "Дворец искусств"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562,6 тыс.рублей - увеличен объем бюджетных ассигнований путем перераспределения для проведения ремонта в МБУ "ЦБС"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(+)106,6 тыс.рублей - увеличен объем бюджетных ассигнований путем перераспределения в целях приобретения интерактивного стола в МАУ «Региональный историко-культурный и экологический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50,0 тыс.рублей - уменьшен объем бюджетных ассигнований путем перераспределения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(-)34,2 тыс.рублей - уменьшен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164,5 тыс.рублей - уменьшен объем бюджетных средств путем перераспределения сложившейся экономии бюджетных ассигнований в результате проведенных электронных аукционов на выполнение работ по ремонтам объектов учреждений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(+)168,0 тыс.рублей - увеличен объем бюджетных ассигнований путем перераспределения для реализации мероприятий по подготовке к осенне-зимнему периоду(профилактика и ремонт дверей и окон) (средства местного бюджета).</t>
  </si>
  <si>
    <t>(+) 281,2 тыс. рублей увеличен объем бюджетных ассигнований по обеспечению деятельности  Думы города (средства местного бюджета).</t>
  </si>
  <si>
    <t>(+) 15 850,0 тыс. рублей – увеличен объем бюджетных ассигнований на обустройство мест (площадок) накопления твердых коммунальных отходов (средства резервного фонда Правительства ХМАО - Югры);                                                                                                                                                                                                              (-) 21 000,0 тыс. рублей – уменьшен объем бюджетных ассигнований на обустройство мест (площадок) накопления твердых коммунальных отходов (средства местного бюджета);                                                                                                                                                                                             (-) 5,0 тыс. рублей – уменьшен объем бюджетных ассигнований на выполнение работ по подготовке муниципального образования к новогодним мероприятиям в рамках муниципальной программы "Развитие жилищно-коммунального комплекса и повышение энергетической эффективности в городском округе город Мегион на 2019-2025 годы" (средства местного бюджета);</t>
  </si>
  <si>
    <r>
      <t xml:space="preserve">(+) 5 119,1 тыс. рублей - увеличен объем бюджетных ассигнований на оплату налога на имущество и земельного налога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224,0 тыс. рублей - увеличен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Югры;                                                                                                                                                                                                                        (-) 1 000,0 тыс. рублей -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                                                                                                                                                                                                                                                                         (-) 685,3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>(-)</t>
    </r>
    <r>
      <rPr>
        <sz val="10"/>
        <rFont val="Arial"/>
        <family val="2"/>
        <charset val="204"/>
      </rPr>
      <t xml:space="preserve"> 945,0 тыс. рублей -  уменьшен объем бюджетных ассигнований путем перераспределения в целях проведения программных мероприятий по подготовке учреждений к осенне-зимнему сезону, мероприятий направленных на антитеррористическую защищенность объектов в сфере образования и другие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увеличен объем бюджетных ассигнований на оплату услуг по содержанию объекта "Школа на 300 мест, п.Высокий" (средства местного бюджета).</t>
    </r>
  </si>
  <si>
    <t>(+) 5 134,0 тыс. рублей - увеличен объем целевых межбюджетных трансфертов на организацию и обеспечение отдыха и оздоровления детей, в том числе в этнической среде (средства автономного округа);                                                                                                                                                             (-) 249,0  тыс. рублей – уменьшен объем бюджетных ассигнований путем внутреннего перераспределения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752  тыс. рублей – увеличен объем бюджетных ассигнований  на оплату налогов (местный бюджет) (согл. приложение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213,4  тыс. рублей – увеличен объем бюджетных ассигнований  на реализацию мероприятий в области молодежной политики путем перераспределения (местный бюджет).</t>
  </si>
  <si>
    <t>(+) 26 100,9 тыс. рублей - увеличен объем целевых межбюджетных трансфертов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2 900,1 тыс. рублей - увеличен объем бюджетных ассигнований для обеспечения доли софинансирования 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(+) 980,6 тыс. рублей - увеличен объем бюджетных ассигнований путем перераспределения в целях проведения программных мероприятий по подготовке учреждений к осенне-зимнему сезону, мероприятий направленных на антитеррористическую защищенность объектов в сфере образования и другие (средства местного бюджета).</t>
  </si>
  <si>
    <t>Решение Думы города Мегиона от 29.10.2019 №392 (уточненный бюджет)                                                      (тыс. рублей)</t>
  </si>
  <si>
    <t xml:space="preserve">(-) 208,8 тыс. рублей – уменьшен объем бюджетных обязательств (доля софинансирования) на реализацию полномочий в области жилищного строительства (мероприятия по градостроительной деятельности) (средства местного бюджета);  </t>
  </si>
  <si>
    <t>(-) 288,4 тыс. рублей – уменьшен объем бюджетных ассигнований по организации осуществления мероприятий по проведению дезинсекции и дератизации в Ханты-Мансийском автономном округе – Югре (средства автономного округа);</t>
  </si>
  <si>
    <t>(+) 33,2 тыс. рублей - увеличен объем бюджетных ассигнований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(-) 130,3 тыс. рублей – уменьшен объем бюджетных ассигнований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(средства автономного округа);</t>
  </si>
  <si>
    <t>(-) 1 747,2 тыс. рублей – уменьшен объем бюджетных ассигнований по приобретению и установке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(средства автономного округа);</t>
  </si>
  <si>
    <t>(-)30,0 тыс.рублей - уменьшен объем бюджетных ассигнований путем внутреннего перераспредления (средства местного бюджета)</t>
  </si>
  <si>
    <t>(-) 304,2 тыс. рублей - уменьшен объем бюджетных ассигнований для заключения муниципального контракта по приобретению премиум Sip-телефона и на оплату страховых взносов во внебюджетные фонды (средства местного бюджета);</t>
  </si>
  <si>
    <t>(+) 176,8 тыс. рублей - увеличен объем бюджетных ассигнований на приобретение и монтаж кондиционера в серверную в целях развития аппаратно-программного комплекса «Безопасный город» (средства местного бюджета);</t>
  </si>
  <si>
    <t>(-)100,0 тыс.рублей -уменьшен объем бюджетных ассигнований путем внутреннего перераспределения в связи с экономией по средствам компенсации расходов на оплату стоимости проезда и провоза багажа к месту использования отпуска и обратно (средства местного бюджета).</t>
  </si>
  <si>
    <t>(+)285,5 тыс.рублей -увеличен объем бюджетных ассигнований путем внутреннего перераспределения на реализацию мероприятий в области образования и молодежной политики (средства местного бюджета).</t>
  </si>
  <si>
    <t>(+)320,0 тыс.рублей -увеличен объем бюджетных ассигнований путем внутреннего перераспредления на реализацию мероприятий, по комплексной безопасности и комфортных условий в учреждениях физической культуры и спорта(средства местного бюджета).</t>
  </si>
  <si>
    <t>(+)100,0 тыс.рублей -увеличен объем бюджетных ассигнований путем внутреннего перераспредления на реализацию мероприятий, направленных на организацию и проведение спортивно-массовых мероприятий, иных мероприятий в области физической культуры и спорта (средства местного бюджета);</t>
  </si>
  <si>
    <t>(+) 12 760,9 тыс. рублей- увеличен объем бюджетных ассигнований на реализацию полномочий в сфере жилищно-коммунального комплекса (средства бюджета автономного округа);</t>
  </si>
  <si>
    <t>(-) 270,0 тыс. рублей – уменьшен объем бюджетных ассигнований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округа);                                                                                                                                            (-)8,8 тыс.рублей-уменьшен объем бюджетных ассигнований в результате экономии средств по конкурсным процедурам на заключение муниципального контракта (средства местного бюджета)</t>
  </si>
  <si>
    <t>(-)3,1 тыс.рублей-уменьшен объем бюджетных ассигнований в результате экономии средств по конкурсным процедурам на заключение муниципального контракта (средства местного бюджета)</t>
  </si>
  <si>
    <t>(-) 325,0 тыс.рублей- уменьшин объем бюджетных ассигнований на обслуживание внутренненго долга городского округа (средства местного бюджета)</t>
  </si>
  <si>
    <t>(+) 300,0 тыс.рублей- увеличен объем бюджетных ассигнований на обеспечение деятельности МКУ "ЦБ" (средства местного бюджета)</t>
  </si>
  <si>
    <t>(+) 9,9 тыс.рублей-увеличен объем бюджетных ассигнований на обеспечение деятельности Контрольно-счетной палаты (средства мместного бюджета)</t>
  </si>
  <si>
    <t>(+) 127,0 тыс.рублей - увеличен объем бюджетных ассигнований на обеспечение Думы города Мегиона (средства местного бюджета)</t>
  </si>
  <si>
    <t>(+) 23,0 тыс. рублей - увеличен объем бюджетных ассигнований на оценку земельных участков (средства местного бюджета);                                                                                                                                                                                                 (-) 328,8 тыс. рублей - уменьшен объем бюджетных ассигнований в целях оплаты постановлений надзорных органов (исполнительский сбор) (средства местного бюджета);</t>
  </si>
  <si>
    <t xml:space="preserve">(-) 200,0 тыс. рублей - уменьшен объем бюджетных ассигнований на финансовое обеспечение деятельности администрации города (средства местного бюджета); </t>
  </si>
  <si>
    <t xml:space="preserve">(-) 229,5 тыс. рублей -уменьшен объем бюджетных ассигнований по ремонту муниципального имущенства (средства местного бюджета);                           </t>
  </si>
  <si>
    <t>(+) 290,0 тыс.рублей - увеличен объем бюджетных ассигнований путем внутреннего перераспределения на выплату заработной платы и начислений на выплаты по оплате труда МКУ "ИА" Мегионские новости" (средства местного бюджета)</t>
  </si>
  <si>
    <t xml:space="preserve">(-)320,0 тыс.рублей -уменьшен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(-)200,0 тыс.рублей -уменьшен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приобретение компьютеров  МАУ ДО "ДЮСШ "Юность"  - средства резервного фонда Правительства Тюменской области (расп. №1529-рп от 18.11.2019);                                                                                                                                                              (-)221,1 тыс.рублей -уменьшен объем бюджетных ассигнований путем внутреннего перераспредления (средства местного бюджета);     </t>
  </si>
  <si>
    <t>(-) 1863,4 тыс. рублей - уменьшен объем бюджетных ассигнований на строительство спортивного центра с универсальным игровым залом и плоскостными спортивными сооружениями (1770,2 тыс. рублей-средства бюджета автономного округа; 93,2 тыс.рублей -средства местного бюджета);</t>
  </si>
  <si>
    <t xml:space="preserve">(+) 250,0 тыс. рублей - увеличен объем бюджетных ассигнований приобретение компьютеров  МАУ ДО "ДЮСШ "Юность"  - средства резервного фонда Правительства Тюменской области (расп. №1529-рп от 18.11.2019);                                                                                                                                            (-)321,1 тыс.рублей -уменьшен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</si>
  <si>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(+)200,0 тыс.рублей -увеличен объем бюджетных ассигнований путем внутреннего перераспредления на реализацию мероприятий, направленных на организацию и проведение спортивно-массовых мероприятий, иных мероприятий в области физической культуры и спорта(средства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(-)100,0 тыс.рублей -уменьшен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(+) 50,0 тыс. рублей - увеличен объем бюджетных ассигнований на организацию участия в спортивных мероприятиях МАУ ДО "ДЮСШ "Юность" - средства резервного фонда Правительства Тюменской области (расп. №1529-рп от 18.11.2019);                                                                                         (+)221,1 тыс.рублей -увеличен объем бюджетных ассигнований путем внутреннего перераспредления на реализацию мероприятий, направленных на организацию и проведение спортивно-массовых мероприятий, иных мероприятий в области физической культуры и спорта(средства местного бюджета).</t>
  </si>
  <si>
    <t xml:space="preserve">(+) 300,0 тыс. рублей - увеличен объем бюджетных ассигнований приобретение компьютеров  МАУ ДО "ДЮСШ "Юность"  - средства резервного фонда Правительства Тюменской области (расп. №1529-рп от 18.11.2019);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1863,4 тыс. рублей - уменьшен объем бюджетных ассигнований на строительство спортивного центра с универсальным игровым залом и плоскостными спортивными сооружениями (в том числе: средства бюджета автономного округа -1 770,2 тыс. рублей; средства местного бюджета -93,2 тыс.рублей).                  </t>
  </si>
  <si>
    <t xml:space="preserve">(+) 600,0 тыс.рублей -увеличен объем бюджетных ассигнований путем внутреннего перераспределения на приобретение оргтехники  (средства местного бюджета);     </t>
  </si>
  <si>
    <t xml:space="preserve">(-) 767,6 тыс.рублей -уменьшен объем бюджетных ассигнований в связи со сложившейся экономией по оплате больничных листов по беременности и родам, а также оплате отпусков по уходу за ребенком до 1,5 лет работникам учреждения (средства местного бюджета).                                                                                                                                                                                                           . </t>
  </si>
  <si>
    <t>(+)185,5 тыс.рублей -увеличен объем бюджетных ассигнований путем внутреннего перераспределения (средства местного бюджета).</t>
  </si>
  <si>
    <t>(-) 155,9 тыс. рублей – уменьшен объем бюджетных ассигнований на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                          (+) 1337,3 тыс.рублей –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 сирот и детей, оставшихся без попечения родителей, усыновителям, приемным родителям;</t>
  </si>
  <si>
    <t>(-) 96,4 тыс. рублей - уменьшен объем бюджетных ассигнований на строительство объектов инженерной инфраструктуры на территориях, предназначенных для жилищного строительства (72,3-средства бюджета автономного округа, 24,1-средства местного бюджета);</t>
  </si>
  <si>
    <t>(-) 1 081,2 тыс. рублей - 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 – Югры по социально ориентированным тарифам и сжиженного газа по социально ориентированным розничным ценам (средства бюджета автономного округа);</t>
  </si>
  <si>
    <t xml:space="preserve">(+) 600,0 тыс.рублей -увеличен объем бюджетных ассигнований путем внутреннего перераспределения на приобретение оргтехники  (средства местного бюджета);                                                                                                                                                                                                                (-) 767,6 тыс.рублей -уменьшен объем бюджетных ассигнований в связи со сложившейся экономией по оплате больничных листов по беременности и родам, а также оплате отпусков по уходу за ребенком до 1,5 лет работникам учреждения (средства местного бюджета).                                                                                                                                                                                                              </t>
  </si>
  <si>
    <t xml:space="preserve">(+) 50,0 тыс. рублей - увеличен объем бюджетных ассигнований на организацию участия в спортивных мероприятиях МАУ ДО "ДЮСШ "Юность" - средства резервного фонда Правительства Тюменской области (расп. №1529-рп от 18.11.2019);                                                                                           (+) 321,1 тыс.рублей -увеличен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(-) 1 863,4 тыс. рублей - уменьшен объем бюджетных ассигнований на строительство спортивного центра с универсальным игровым залом и плоскостными спортивными сооружениями (1770,2 тыс. рублей-средства бюджета автономного округа; 93,2 тыс.рублей -средства местного бюджета).           </t>
  </si>
  <si>
    <t>(-) 2 508,5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</t>
  </si>
  <si>
    <t xml:space="preserve">(-) 800,0 тыс. рублей - 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(средства бюджета автономного округа);                                                                                        (-) 599,8 тыс. рублей - уменьшен объем целевых межбюджетных трансфертов на обеспечение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</t>
  </si>
  <si>
    <t>(-) 4 011,3 тыс. рублей - уменьшен объем целевых межбюджетных трансфертов на социальную поддержку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           (-) 5,5 тыс. рублей - уменьшен объем бюджетных ассигнований в связи с экономией средств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748,6 тыс. рублей - уменьшен объем бюджетных ассигнований</t>
  </si>
  <si>
    <t>+</t>
  </si>
  <si>
    <t xml:space="preserve">(-) 18 325,1 тыс. рублей - уменьшен объем целевых межбюджетных трансфертов на обеспечение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61,2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2 138,2 тыс. рублей - уменьшен объем бюджетных ассигнований в связи с экономией средств(средства местного бюджета);                                                                                                                                                                                         </t>
  </si>
  <si>
    <t>(+) 1 124,6 тыс. рублей - увеличен объем бюджетных ассигнований для проведения мероприятий, направленных на антитеррористическую защищенность объектов в сфере образования</t>
  </si>
  <si>
    <t>(-) 1 500,0 тыс.рублей -уменьшен объем бюджетных ассигнований в связи с экономией средств на финансирование сертификатов персонифицированного финансирования дополнительного образования детей(средства местного бюджета).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</si>
  <si>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(-)63,4 тыс.рублей - 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(-)425,1 тыс.рублей - уменьшен объем бюджетных ассгнований в связи со сложившейся экономией (средства местного бюджета)</t>
  </si>
  <si>
    <t>(-) 63,4 тыс.рублей - уменьшен объем бюджетных ассигнований путем внутреннего перераспредления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425,1 тыс.рублей - уменьшен объем бюджетных ассгнований в связи со сложившейся экономией (средства местного бюджета)</t>
  </si>
  <si>
    <t>(-) 66,4 тыс.рублей - уменьшен объем бюджетных ассигнований в связи со сложившейся экономией (возврат бюджетных ассигнований Мегионскому фонду поддержки социальных программ и проектов "Меценат" (средства местного бюджета);                                                                                                                    (+) 93,4 тыс.рублей - увеличен объем бюджетных ассигнований путем внутреннего перераспределения в целях оплаты расходов по проведению концерта, посвященного Дню образования Ханты-Мансийского автономного округа-Югры; (средства местного бюджета)</t>
  </si>
  <si>
    <t>(-)30,0 тыс.рублей - уменьшен объем бюджетных ассигнований путем внутреннего перераспредления (средства местного бюджета) ;                                                                                                                                                                                                                                                                     (-) 66,4 тыс.рублей - уменьшен объем бюджетных ассигнований в связи со сложившейся экономией (возврат бюджетных ассигнований Мегионскому фонду поддержки социальных программ и проектов "Меценат" (средства местного бюджета);                                                                                                                    (+) 93,4 тыс.рублей - увеличен объем бюджетных ассигнований путем внутреннего перераспределения в целях оплаты расходов по проведению концерта, посвященного Дню образования Ханты-Мансийского автономного округа-Югры (средства местного бюджета)</t>
  </si>
  <si>
    <t xml:space="preserve">(-) 200,0 тыс. рублей - уменьшен объем бюджетных ассигнований на финансовое обеспечение деятельности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(+) 23,0 тыс. рублей - увеличен объем бюджетных ассигнований на оценку земельных участков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328,8 тыс. рублей - уменьшен объем бюджетных ассигнований в целях оплаты постановлений надзорных органов (исполнительский сбор) (средства местного бюджета);                                                                                                                                                                                    (-) 229,5 тыс. рублей -уменьшен объем бюджетных ассигнований по ремонту муниципального имущенства (средства местного бюджета); </t>
  </si>
  <si>
    <t>(-) 3 552,6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24.11.1995 № 181-ФЗ «О социальной защите инвалидов в РФ»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(-)12 559,0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12.01. 1995 № 5-ФЗ «О ветеранах» (средства федерального бюджета);</t>
  </si>
  <si>
    <t>(-) 3 552,6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24.11.1995 № 181-ФЗ «О социальной защите инвалидов в РФ»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(-)12 559,0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12.01. 1995 № 5-ФЗ «О ветеранах» (средства федерального бюджета);</t>
  </si>
  <si>
    <t xml:space="preserve">(+) 245 811,0 тыс. рублей – увеличен объем бюджетных ассигнований на реализацию полномочий в области жилищных отношений (средства бюджета автономного округа);                                                                                                                                                                               (-) 17 000,0 тыс. рублей – уменьшен объем бюджетных ассигнований по выкупу АНО «Институт развития города Мегиона» нежилых помещений (средства местного бюджета);
(+) 18 494,0 тыс. рублей – увеличен объем бюджетных ассигнований в целях обеспечения доли софинансирования на реализацию полномочий в области жилищных отношений (средства местного бюджета);
</t>
  </si>
  <si>
    <t xml:space="preserve">(+) 245 811,0 тыс. рублей – увеличен объем бюджетных ассигнований на реализацию полномочий в области жилищных отношений (средства бюджета автономного округа);                                                                                                                                                                                               (-) 17 000,0 тыс. рублей – уменьшен объем бюджетных ассигнований по выкупу АНО «Институт развития города Мегиона» нежилых помещений (средства местного бюджета);                                                                                                                                                                                            (+) 18 494,0 тыс. рублей – увеличен объем бюджетных ассигнований в целях обеспечения доли софинансирования на реализацию полномочий в области жилищных отношений (средства местного бюджета);                                                                                                                                                                                                (-) 96,4 тыс. рублей - уменьшен объем бюджетных ассигнований на строительство объектов инженерной инфраструктуры на территориях, предназначенных для жилищного строительства (72,3-средства бюджета автономного округа, 24,1-средства местного бюджета);
</t>
  </si>
  <si>
    <t>(-) 108 832,2 тыс.рублей- уменьшен объем бюджетных ассигнований на реализацию полномочий в области строительства, градостроительной деятельности и жилищных отношений (остаток средств бюджета  автономного округа на 01.01.2019);                                                                                                                                                                                                                                   (-)721,2 тыс. рублей - уменьшен объем бюджетных ассигнований в целях оплаты постановлений надзорных органов (исполнительский сбор) (средства местного бюджета);</t>
  </si>
  <si>
    <t>(+) 12 760,9 тыс. рублей- увеличен объем бюджетных ассигнований на реализацию полномочий в сфере жилищно-коммунального комплекса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(-) 1 081,2 тыс. рублей - 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 – Югры по социально ориентированным тарифам и сжиженного газа по социально ориентированным розничным ценам (средства бюджета автономного округа);</t>
  </si>
  <si>
    <t>(+) 1 124,6 тыс. рублей - увеличен объем бюджетных ассигнований для проведения мероприятий, направленных на антитеррористическую защищенность объектов в сфере образования (средства местного бюджета).</t>
  </si>
  <si>
    <t>(-) 108 832,2 тыс.рублей- уменьшен объем бюджетных ассигнований на реализацию полномочий в области строительства, градостроительной деятельности и жилищных отношений (остаток средств бюджета  автономного округа на 01.01.2019);                                                                                                                            (-) 721,2 тыс. рублей - уменьшен объем бюджетных ассигнований в целях оплаты постановлений надзорных органов (исполнительский сбор) (средства местного бюджета);</t>
  </si>
  <si>
    <t xml:space="preserve">(-) 2 066,0 тыс.рублей -уменьшен объем бюджетных ассигнований по обеспечению деятельности МКУ "УЖКХ" (средства местного бюджета);                                                                                                                                                             </t>
  </si>
  <si>
    <t>(-) 893,2 тыс. рублей - уменьшен объем бюджетных ассигнований по резервным фондам (средства местного бюджета);</t>
  </si>
  <si>
    <t>(-) 81,2-уменьшен объем бюджетных ассигнований в связи с экономией средств по муниципальной программе "Развитие муниципальной службы в городском округе город Мегион на 2019-2025 годы" (средства местного бюджета)</t>
  </si>
  <si>
    <t>(+) 408,7 тыс. рублей - увеличен объем бюджетных ассигнований для проведения мероприятий по информатизации образования и молодежной политики</t>
  </si>
  <si>
    <t xml:space="preserve">(-) 304,2 тыс. рублей - уменьшен объем бюджетных ассигнований для заключения муниципального контракта по приобретению премиум Sip-телефона и на оплату страховых взносов во внебюджетные фонды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18 924,9 тыс. рублей - уменьшен объем целевых межбюджетных трансфертов на обеспечение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2 569,7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2 892,3 тыс. рублей - уменьшен объем бюджетных ассигнований в связи с экономией средств(средства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800,0 тыс. рублей - уменьшен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408,7 тыс. рублей - увеличен объем бюджетных ассигнований для проведения мероприятий по информатизации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(-) 4 011,3 тыс. рублей - уменьшен объем целевых межбюджетных трансфертов на социальную поддержку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</si>
  <si>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22,2 тыс.рублей-уменьшен объем бюджетных ассигнований в результате экономии средств по конкурсным процедурам на заключение муниципального контракта (средства местного бюджета)</t>
  </si>
  <si>
    <t>(-) 170,9 тыс.рублей- уменьшен объем бюджетных ассигнований по обеспечению деятельности главных распорядителей бюджетных средств в бюджетной сфере, в сфере налогов и сборов, в сфере закупок (средства местного бюджета)</t>
  </si>
  <si>
    <t xml:space="preserve">(-) 270,0 тыс. рублей – уменьшен объем бюджетных ассигнований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округа);                                                                                                                                                                                 (-) 34,1 тыс.рублей-уменьшен объем бюджетных ассигнований в результате экономии средств по конкурсным процедурам на заключение муниципального контракта (средства местного бюджета).                                                                                                                                                                      </t>
  </si>
  <si>
    <t xml:space="preserve">(+) 2 586,1 тыс.рублей- увеличен объем бюджетных ассигнований на обеспечение деятельности администрации города (средства местного бюджета); </t>
  </si>
  <si>
    <t>(+) 2 586,1 тыс.рублей- увеличен объем бюджетных ассигнований на обеспечение деятельности администрации города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(+) 33,2 тыс. рублей - увеличен объем бюджетных ассигнований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(-) 130,3 тыс. рублей – уменьшен объем бюджетных ассигнований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(средства автономного округа);</t>
  </si>
  <si>
    <t>(+) 1 477,3 тыс. рублей - увеличен объем бюджетных ассигнований  для заключения муниципального контракта по приобретению премиум Sip-телефона и на оплату страховых взносов во внебюджетные фонды (средства местного бюджета);</t>
  </si>
  <si>
    <t>(+) 1 477,3 тыс. рублей - увеличен объем бюджетных ассигнований  для заключения муниципального контракта по приобретению премиум Sip-телефона и на оплату страховых взносов во внебюджетные фонды (средства местного бюджета);                                                                                                                                                                                            (-) 2 066,0 тыс.рублей -уменьшен объем бюджетных ассигнований по обеспечению деятельности МКУ "УЖКХ"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(+) 300,0 тыс.рублей- увеличен объем бюджетных ассигнований на обеспечение деятельности МКУ "ЦБ" (средства местного бюджета)</t>
  </si>
  <si>
    <t xml:space="preserve">(+) 125,8 тыс. рублей - увеличен объем бюджетных ассигнований  для оплаты пособий на период трудоустройства работника (средства местного бюджета); </t>
  </si>
  <si>
    <t>(+) 1 918,2 тыс. рублей - увеличен объем бюджетных ассигнований для оплаты административных штрафов и исполнительных документов (средства местного бюджета);</t>
  </si>
  <si>
    <t>(+) 418,2 тыс. рублей - увеличен объем бюджетных ассигнований на оплату труда работников учреждения (средства местного бюджета);</t>
  </si>
  <si>
    <t>приложение  1</t>
  </si>
  <si>
    <r>
      <t>(+) 305,8 тыс.рублей - увеличен объем бюджетных ассигнований в целях заключения договоров на физическую охрану объектов МАУ «Региональный историко-культурный центр» (средства местного бюджета);                                                                                                                                                                                                                       (-) 35,9 тыс.рублей - уменьшен объем бюджетных ассигнований путем перераспределения в целях приобретения интерактивного стола в МАУ «Региональный историко-культурный и экологический центр» (средства местного бюджета);                                                                                                                                                                 (+) 4 550, тыс.рублей -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увеличен объем бюджетных ассигнований на заработную плату и начисления на оплату труда работников муниципальных учреждений;                                                                                                                                                                                                           (+)816,9 тыс.рублей - увеличен объем бюджетных ассигнований на оплату налога на имущества;                                                                                                                                                                                                                                                                                                                                                              (+)34,2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(+)164,5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3454,6 тыс.рублей - уменьшен объем бюджетных ассигнований за счет экономии (средства местного бюджета).</t>
    </r>
  </si>
  <si>
    <r>
      <t xml:space="preserve">(+) 5 119,1 тыс. рублей - увеличен объем бюджетных ассигнований на оплату налога на имущество и земельного налога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224,0 тыс. рублей - увеличен объем целевых межбюджетных трансфертов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Югры;                                                                                                                                                                                                                        (-) 1 000,0 тыс. рублей -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                                                                                                                                                                                                                                                                         (-) 685,3 тыс. рублей - уменьшен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04"/>
      </rPr>
      <t>(-)</t>
    </r>
    <r>
      <rPr>
        <sz val="11"/>
        <rFont val="Arial"/>
        <family val="2"/>
        <charset val="204"/>
      </rPr>
      <t xml:space="preserve"> 945,0 тыс. рублей -  уменьшен объем бюджетных ассигнований путем перераспределения в целях проведения программных мероприятий по подготовке учреждений к осенне-зимнему сезону, мероприятий направленных на антитеррористическую защищенность объектов в сфере образования и другие (средства местного бюджета).;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 рублей - увеличен объем бюджетных ассигнований на оплату услуг по содержанию объекта "Школа на 300 мест, п.Высокий" (средства местного бюджета).</t>
    </r>
  </si>
  <si>
    <r>
      <t xml:space="preserve">(+) 5119,1 тыс. рублей - увеличен объем бюджетных ассигнований на оплату налога на имущество и земельного налога;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2 475,2 тыс. рублей - увеличен объем бюджетных ассигнований на выплату компенсации расходов на оплату стоимости проезда и провоза багажа к месту использования отпуска и обратно работникам учреждений общего образования;                                                                                                                                                   </t>
    </r>
    <r>
      <rPr>
        <b/>
        <sz val="11"/>
        <color theme="9" tint="-0.249977111117893"/>
        <rFont val="Arial"/>
        <family val="2"/>
        <charset val="204"/>
      </rPr>
      <t xml:space="preserve">(+) 1 601,4 тыс. рублей - увеличен объем БА;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04"/>
      </rPr>
      <t>(+) 1 000,0 тыс. рублей - увеличен объем бюджетных ассигнований на оплату услуг по содержанию объекта "Школа на 300 мест, п.Высокий"</t>
    </r>
  </si>
  <si>
    <r>
      <t xml:space="preserve">(-) 1 000,0 тыс. рублей - уменьшен объем целевых межбюджетных трансфертов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                                                                                                                                                                                                                                                         (-) 2 475,2 тыс. рублей - уменьшен объем бюджетных ассигнований на выплату компенсации расходов на оплату стоимости проезда и провоза багажа к месту использования отпуска и обратно работникам учреждений общего образования;                                                                                                          </t>
    </r>
    <r>
      <rPr>
        <b/>
        <sz val="11"/>
        <color theme="9" tint="-0.249977111117893"/>
        <rFont val="Arial"/>
        <family val="2"/>
        <charset val="204"/>
      </rPr>
      <t>(-) 3 326,4 тыс. рублей - уменьшен объем БА</t>
    </r>
  </si>
  <si>
    <r>
      <t xml:space="preserve">(+) 26 100,9 тыс. рублей - увеличен объем целевых межбюджетных трансфертов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04"/>
      </rPr>
      <t>(+) 2 900,1 тыс. рублей - увеличен объем бюджетных ассигнований для обеспечения доли софинансирования субсидии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  </r>
  </si>
  <si>
    <t xml:space="preserve">(-) 155,9 тыс. рублей – уменьшен объем бюджетных ассигнований на реализацию мероприятий по содействию трудоустройству граждан (средства бюджета автономного округа);                                                                                                                                                                            (+) 1337,3 тыс.рублей –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 сирот и детей, оставшихся без попечения родителей, усыновителям, приемным родителям (средства бюджета автономного округа);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</si>
</sst>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* #,##0.00;* \-#,##0.00;* &quot;-&quot;??;@"/>
    <numFmt numFmtId="165" formatCode="#,##0.0;[Red]\-#,##0.0;0.0"/>
    <numFmt numFmtId="166" formatCode="00.0.00.00000"/>
    <numFmt numFmtId="167" formatCode="#,##0.0_ ;[Red]\-#,##0.0\ "/>
    <numFmt numFmtId="168" formatCode="#,##0.00;[Red]\-#,##0.00;0.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9" tint="-0.249977111117893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7" fillId="0" borderId="0"/>
  </cellStyleXfs>
  <cellXfs count="228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alignment vertic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0" fontId="2" fillId="3" borderId="0" xfId="1" applyFill="1" applyBorder="1" applyProtection="1">
      <protection hidden="1"/>
    </xf>
    <xf numFmtId="0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0" fontId="2" fillId="3" borderId="0" xfId="1" applyFill="1"/>
    <xf numFmtId="0" fontId="2" fillId="0" borderId="0" xfId="1" applyFill="1" applyBorder="1" applyAlignment="1" applyProtection="1">
      <alignment horizontal="center" vertical="center"/>
      <protection hidden="1"/>
    </xf>
    <xf numFmtId="0" fontId="2" fillId="0" borderId="0" xfId="1" applyFill="1" applyAlignment="1">
      <alignment horizontal="center" vertical="center"/>
    </xf>
    <xf numFmtId="0" fontId="0" fillId="0" borderId="0" xfId="2" applyNumberFormat="1" applyFont="1" applyFill="1" applyProtection="1">
      <protection hidden="1"/>
    </xf>
    <xf numFmtId="0" fontId="2" fillId="0" borderId="0" xfId="1" applyFill="1"/>
    <xf numFmtId="0" fontId="7" fillId="3" borderId="0" xfId="1" applyFont="1" applyFill="1" applyBorder="1" applyProtection="1">
      <protection hidden="1"/>
    </xf>
    <xf numFmtId="0" fontId="9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9" fillId="3" borderId="5" xfId="1" applyNumberFormat="1" applyFont="1" applyFill="1" applyBorder="1" applyAlignment="1" applyProtection="1">
      <alignment vertical="center"/>
      <protection hidden="1"/>
    </xf>
    <xf numFmtId="0" fontId="7" fillId="3" borderId="0" xfId="1" applyFont="1" applyFill="1"/>
    <xf numFmtId="0" fontId="11" fillId="0" borderId="0" xfId="5" applyFont="1" applyFill="1" applyAlignment="1">
      <alignment horizontal="right"/>
    </xf>
    <xf numFmtId="0" fontId="2" fillId="0" borderId="0" xfId="1" applyFill="1" applyBorder="1" applyProtection="1"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Protection="1">
      <protection hidden="1"/>
    </xf>
    <xf numFmtId="0" fontId="8" fillId="2" borderId="0" xfId="1" applyFont="1" applyFill="1" applyBorder="1" applyProtection="1">
      <protection hidden="1"/>
    </xf>
    <xf numFmtId="0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5" xfId="1" applyNumberFormat="1" applyFont="1" applyFill="1" applyBorder="1" applyAlignment="1" applyProtection="1">
      <alignment vertical="center"/>
      <protection hidden="1"/>
    </xf>
    <xf numFmtId="0" fontId="8" fillId="2" borderId="0" xfId="1" applyFont="1" applyFill="1"/>
    <xf numFmtId="49" fontId="6" fillId="0" borderId="5" xfId="1" applyNumberFormat="1" applyFont="1" applyFill="1" applyBorder="1" applyAlignment="1" applyProtection="1">
      <alignment vertical="center"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13" fillId="0" borderId="5" xfId="0" applyFont="1" applyBorder="1" applyAlignment="1">
      <alignment horizontal="left" vertical="center" wrapText="1"/>
    </xf>
    <xf numFmtId="165" fontId="6" fillId="3" borderId="5" xfId="1" applyNumberFormat="1" applyFont="1" applyFill="1" applyBorder="1" applyAlignment="1" applyProtection="1">
      <alignment vertical="center" wrapText="1"/>
      <protection hidden="1"/>
    </xf>
    <xf numFmtId="165" fontId="6" fillId="3" borderId="5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5" xfId="1" applyNumberFormat="1" applyFont="1" applyFill="1" applyBorder="1" applyAlignment="1" applyProtection="1">
      <alignment horizontal="left" vertical="center" wrapText="1"/>
      <protection hidden="1"/>
    </xf>
    <xf numFmtId="49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5" xfId="1" applyNumberFormat="1" applyFont="1" applyFill="1" applyBorder="1" applyAlignment="1" applyProtection="1">
      <alignment vertical="center" wrapText="1"/>
      <protection hidden="1"/>
    </xf>
    <xf numFmtId="0" fontId="11" fillId="0" borderId="0" xfId="5" applyFont="1" applyFill="1" applyAlignment="1">
      <alignment horizontal="right" wrapText="1"/>
    </xf>
    <xf numFmtId="0" fontId="0" fillId="0" borderId="0" xfId="2" applyNumberFormat="1" applyFont="1" applyFill="1" applyAlignment="1" applyProtection="1">
      <alignment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12" fillId="2" borderId="5" xfId="1" applyNumberFormat="1" applyFont="1" applyFill="1" applyBorder="1" applyAlignment="1" applyProtection="1">
      <alignment vertical="center" wrapText="1"/>
      <protection hidden="1"/>
    </xf>
    <xf numFmtId="165" fontId="9" fillId="3" borderId="5" xfId="1" applyNumberFormat="1" applyFont="1" applyFill="1" applyBorder="1" applyAlignment="1" applyProtection="1">
      <alignment vertical="center" wrapText="1"/>
      <protection hidden="1"/>
    </xf>
    <xf numFmtId="165" fontId="4" fillId="0" borderId="3" xfId="1" applyNumberFormat="1" applyFont="1" applyFill="1" applyBorder="1" applyAlignment="1" applyProtection="1">
      <alignment vertical="center" wrapText="1"/>
      <protection hidden="1"/>
    </xf>
    <xf numFmtId="0" fontId="2" fillId="0" borderId="1" xfId="1" applyFill="1" applyBorder="1" applyAlignment="1" applyProtection="1">
      <alignment wrapText="1"/>
      <protection hidden="1"/>
    </xf>
    <xf numFmtId="0" fontId="2" fillId="0" borderId="0" xfId="1" applyFill="1" applyAlignment="1">
      <alignment wrapText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12" fillId="2" borderId="5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6" fontId="6" fillId="3" borderId="5" xfId="1" applyNumberFormat="1" applyFont="1" applyFill="1" applyBorder="1" applyAlignment="1" applyProtection="1">
      <alignment wrapText="1"/>
      <protection hidden="1"/>
    </xf>
    <xf numFmtId="166" fontId="9" fillId="3" borderId="5" xfId="1" applyNumberFormat="1" applyFont="1" applyFill="1" applyBorder="1" applyAlignment="1" applyProtection="1">
      <alignment wrapText="1"/>
      <protection hidden="1"/>
    </xf>
    <xf numFmtId="166" fontId="4" fillId="2" borderId="5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>
      <alignment horizontal="justify" vertical="center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justify" vertical="center"/>
    </xf>
    <xf numFmtId="0" fontId="14" fillId="3" borderId="0" xfId="0" applyFont="1" applyFill="1" applyAlignment="1">
      <alignment horizontal="left" vertical="center" wrapText="1"/>
    </xf>
    <xf numFmtId="0" fontId="15" fillId="0" borderId="0" xfId="5" applyFont="1" applyFill="1" applyAlignment="1">
      <alignment horizontal="right" wrapText="1"/>
    </xf>
    <xf numFmtId="0" fontId="2" fillId="0" borderId="0" xfId="1" applyFont="1" applyFill="1"/>
    <xf numFmtId="0" fontId="13" fillId="0" borderId="0" xfId="5" applyFont="1" applyFill="1" applyAlignment="1">
      <alignment horizontal="right"/>
    </xf>
    <xf numFmtId="0" fontId="13" fillId="0" borderId="0" xfId="5" applyFont="1" applyFill="1" applyAlignment="1">
      <alignment horizontal="right" wrapText="1"/>
    </xf>
    <xf numFmtId="0" fontId="17" fillId="0" borderId="0" xfId="2" applyNumberFormat="1" applyFont="1" applyFill="1" applyProtection="1">
      <protection hidden="1"/>
    </xf>
    <xf numFmtId="0" fontId="17" fillId="0" borderId="0" xfId="2" applyNumberFormat="1" applyFont="1" applyFill="1" applyAlignment="1" applyProtection="1">
      <alignment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Protection="1">
      <protection hidden="1"/>
    </xf>
    <xf numFmtId="165" fontId="3" fillId="2" borderId="5" xfId="1" applyNumberFormat="1" applyFont="1" applyFill="1" applyBorder="1" applyAlignment="1" applyProtection="1">
      <alignment vertical="center" wrapText="1"/>
      <protection hidden="1"/>
    </xf>
    <xf numFmtId="0" fontId="3" fillId="2" borderId="0" xfId="1" applyFont="1" applyFill="1"/>
    <xf numFmtId="0" fontId="2" fillId="3" borderId="0" xfId="1" applyFont="1" applyFill="1" applyBorder="1" applyProtection="1">
      <protection hidden="1"/>
    </xf>
    <xf numFmtId="165" fontId="2" fillId="3" borderId="5" xfId="1" applyNumberFormat="1" applyFont="1" applyFill="1" applyBorder="1" applyAlignment="1" applyProtection="1">
      <alignment vertical="center" wrapText="1"/>
      <protection hidden="1"/>
    </xf>
    <xf numFmtId="0" fontId="2" fillId="3" borderId="0" xfId="1" applyFont="1" applyFill="1"/>
    <xf numFmtId="0" fontId="2" fillId="0" borderId="0" xfId="1" applyFont="1" applyFill="1" applyBorder="1" applyProtection="1">
      <protection hidden="1"/>
    </xf>
    <xf numFmtId="165" fontId="2" fillId="0" borderId="5" xfId="1" applyNumberFormat="1" applyFont="1" applyFill="1" applyBorder="1" applyAlignment="1" applyProtection="1">
      <alignment vertical="center" wrapText="1"/>
      <protection hidden="1"/>
    </xf>
    <xf numFmtId="165" fontId="2" fillId="2" borderId="5" xfId="1" applyNumberFormat="1" applyFont="1" applyFill="1" applyBorder="1" applyAlignment="1" applyProtection="1">
      <alignment vertical="center" wrapText="1"/>
      <protection hidden="1"/>
    </xf>
    <xf numFmtId="165" fontId="2" fillId="3" borderId="5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>
      <alignment wrapText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165" fontId="3" fillId="0" borderId="13" xfId="1" applyNumberFormat="1" applyFont="1" applyFill="1" applyBorder="1" applyAlignment="1" applyProtection="1">
      <alignment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18" fillId="2" borderId="5" xfId="1" applyNumberFormat="1" applyFont="1" applyFill="1" applyBorder="1" applyAlignment="1" applyProtection="1">
      <alignment wrapText="1"/>
      <protection hidden="1"/>
    </xf>
    <xf numFmtId="0" fontId="18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8" fillId="2" borderId="5" xfId="1" applyNumberFormat="1" applyFont="1" applyFill="1" applyBorder="1" applyAlignment="1" applyProtection="1">
      <alignment vertical="center"/>
      <protection hidden="1"/>
    </xf>
    <xf numFmtId="165" fontId="18" fillId="2" borderId="5" xfId="1" applyNumberFormat="1" applyFont="1" applyFill="1" applyBorder="1" applyAlignment="1" applyProtection="1">
      <alignment vertical="center" wrapText="1"/>
      <protection hidden="1"/>
    </xf>
    <xf numFmtId="166" fontId="19" fillId="3" borderId="5" xfId="1" applyNumberFormat="1" applyFont="1" applyFill="1" applyBorder="1" applyAlignment="1" applyProtection="1">
      <alignment wrapText="1"/>
      <protection hidden="1"/>
    </xf>
    <xf numFmtId="0" fontId="19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19" fillId="3" borderId="5" xfId="1" applyNumberFormat="1" applyFont="1" applyFill="1" applyBorder="1" applyAlignment="1" applyProtection="1">
      <alignment vertical="center"/>
      <protection hidden="1"/>
    </xf>
    <xf numFmtId="165" fontId="19" fillId="3" borderId="5" xfId="1" applyNumberFormat="1" applyFont="1" applyFill="1" applyBorder="1" applyAlignment="1" applyProtection="1">
      <alignment vertical="center" wrapText="1"/>
      <protection hidden="1"/>
    </xf>
    <xf numFmtId="166" fontId="19" fillId="0" borderId="5" xfId="1" applyNumberFormat="1" applyFont="1" applyFill="1" applyBorder="1" applyAlignment="1" applyProtection="1">
      <alignment wrapText="1"/>
      <protection hidden="1"/>
    </xf>
    <xf numFmtId="0" fontId="19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9" fillId="0" borderId="5" xfId="1" applyNumberFormat="1" applyFont="1" applyFill="1" applyBorder="1" applyAlignment="1" applyProtection="1">
      <alignment vertical="center"/>
      <protection hidden="1"/>
    </xf>
    <xf numFmtId="165" fontId="19" fillId="0" borderId="5" xfId="1" applyNumberFormat="1" applyFont="1" applyFill="1" applyBorder="1" applyAlignment="1" applyProtection="1">
      <alignment vertical="center" wrapText="1"/>
      <protection hidden="1"/>
    </xf>
    <xf numFmtId="165" fontId="19" fillId="2" borderId="5" xfId="1" applyNumberFormat="1" applyFont="1" applyFill="1" applyBorder="1" applyAlignment="1" applyProtection="1">
      <alignment vertical="center" wrapText="1"/>
      <protection hidden="1"/>
    </xf>
    <xf numFmtId="49" fontId="19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19" fillId="3" borderId="5" xfId="1" applyNumberFormat="1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Alignment="1">
      <alignment horizontal="justify" vertical="center"/>
    </xf>
    <xf numFmtId="165" fontId="21" fillId="3" borderId="5" xfId="1" applyNumberFormat="1" applyFont="1" applyFill="1" applyBorder="1" applyAlignment="1" applyProtection="1">
      <alignment vertical="center"/>
      <protection hidden="1"/>
    </xf>
    <xf numFmtId="0" fontId="20" fillId="3" borderId="0" xfId="0" applyFont="1" applyFill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166" fontId="18" fillId="2" borderId="5" xfId="1" applyNumberFormat="1" applyFont="1" applyFill="1" applyBorder="1" applyAlignment="1" applyProtection="1">
      <alignment horizontal="left" vertical="center" wrapText="1"/>
      <protection hidden="1"/>
    </xf>
    <xf numFmtId="167" fontId="19" fillId="3" borderId="5" xfId="1" applyNumberFormat="1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49" fontId="19" fillId="0" borderId="5" xfId="1" applyNumberFormat="1" applyFont="1" applyFill="1" applyBorder="1" applyAlignment="1" applyProtection="1">
      <alignment vertical="center" wrapText="1"/>
      <protection hidden="1"/>
    </xf>
    <xf numFmtId="0" fontId="19" fillId="0" borderId="4" xfId="1" applyNumberFormat="1" applyFont="1" applyFill="1" applyBorder="1" applyAlignment="1" applyProtection="1">
      <protection hidden="1"/>
    </xf>
    <xf numFmtId="0" fontId="23" fillId="0" borderId="13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alignment vertical="center"/>
      <protection hidden="1"/>
    </xf>
    <xf numFmtId="165" fontId="18" fillId="4" borderId="13" xfId="1" applyNumberFormat="1" applyFont="1" applyFill="1" applyBorder="1" applyAlignment="1" applyProtection="1">
      <alignment vertical="center"/>
      <protection hidden="1"/>
    </xf>
    <xf numFmtId="165" fontId="18" fillId="0" borderId="13" xfId="1" applyNumberFormat="1" applyFont="1" applyFill="1" applyBorder="1" applyAlignment="1" applyProtection="1">
      <alignment vertical="center" wrapText="1"/>
      <protection hidden="1"/>
    </xf>
    <xf numFmtId="168" fontId="19" fillId="0" borderId="5" xfId="1" applyNumberFormat="1" applyFont="1" applyFill="1" applyBorder="1" applyAlignment="1" applyProtection="1">
      <alignment vertical="center"/>
      <protection hidden="1"/>
    </xf>
    <xf numFmtId="167" fontId="2" fillId="0" borderId="0" xfId="1" applyNumberFormat="1" applyFont="1" applyFill="1"/>
    <xf numFmtId="165" fontId="19" fillId="4" borderId="5" xfId="1" applyNumberFormat="1" applyFont="1" applyFill="1" applyBorder="1" applyAlignment="1" applyProtection="1">
      <alignment vertical="center"/>
      <protection hidden="1"/>
    </xf>
    <xf numFmtId="0" fontId="3" fillId="4" borderId="0" xfId="1" applyFont="1" applyFill="1" applyBorder="1" applyProtection="1">
      <protection hidden="1"/>
    </xf>
    <xf numFmtId="0" fontId="3" fillId="4" borderId="0" xfId="1" applyFont="1" applyFill="1"/>
    <xf numFmtId="0" fontId="22" fillId="2" borderId="0" xfId="0" applyFont="1" applyFill="1" applyAlignment="1">
      <alignment horizontal="justify" vertical="center"/>
    </xf>
    <xf numFmtId="165" fontId="18" fillId="2" borderId="14" xfId="1" applyNumberFormat="1" applyFont="1" applyFill="1" applyBorder="1" applyAlignment="1" applyProtection="1">
      <alignment vertical="center"/>
      <protection hidden="1"/>
    </xf>
    <xf numFmtId="165" fontId="2" fillId="0" borderId="15" xfId="1" applyNumberFormat="1" applyFont="1" applyFill="1" applyBorder="1" applyAlignment="1" applyProtection="1">
      <alignment vertical="center" wrapText="1"/>
      <protection hidden="1"/>
    </xf>
    <xf numFmtId="0" fontId="25" fillId="3" borderId="0" xfId="0" applyFont="1" applyFill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165" fontId="2" fillId="4" borderId="5" xfId="1" applyNumberFormat="1" applyFont="1" applyFill="1" applyBorder="1" applyAlignment="1" applyProtection="1">
      <alignment vertical="center" wrapText="1"/>
      <protection hidden="1"/>
    </xf>
    <xf numFmtId="0" fontId="25" fillId="0" borderId="5" xfId="0" applyFont="1" applyBorder="1" applyAlignment="1">
      <alignment horizontal="justify" vertical="center"/>
    </xf>
    <xf numFmtId="0" fontId="25" fillId="0" borderId="14" xfId="0" applyFont="1" applyBorder="1" applyAlignment="1">
      <alignment wrapText="1"/>
    </xf>
    <xf numFmtId="0" fontId="25" fillId="0" borderId="0" xfId="0" applyFont="1" applyAlignment="1">
      <alignment wrapText="1"/>
    </xf>
    <xf numFmtId="165" fontId="2" fillId="4" borderId="5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Alignment="1">
      <alignment horizontal="justify" vertical="center"/>
    </xf>
    <xf numFmtId="167" fontId="2" fillId="3" borderId="5" xfId="1" applyNumberFormat="1" applyFont="1" applyFill="1" applyBorder="1" applyAlignment="1" applyProtection="1">
      <alignment horizontal="left" vertical="center" wrapText="1"/>
      <protection hidden="1"/>
    </xf>
    <xf numFmtId="165" fontId="24" fillId="0" borderId="5" xfId="1" applyNumberFormat="1" applyFont="1" applyFill="1" applyBorder="1" applyAlignment="1" applyProtection="1">
      <alignment vertical="center" wrapText="1"/>
      <protection hidden="1"/>
    </xf>
    <xf numFmtId="165" fontId="26" fillId="0" borderId="5" xfId="1" applyNumberFormat="1" applyFont="1" applyFill="1" applyBorder="1" applyAlignment="1" applyProtection="1">
      <alignment vertical="center" wrapText="1"/>
      <protection hidden="1"/>
    </xf>
    <xf numFmtId="0" fontId="25" fillId="2" borderId="7" xfId="0" applyFont="1" applyFill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19" fillId="3" borderId="14" xfId="1" applyNumberFormat="1" applyFont="1" applyFill="1" applyBorder="1" applyAlignment="1" applyProtection="1">
      <alignment vertical="center"/>
      <protection hidden="1"/>
    </xf>
    <xf numFmtId="165" fontId="19" fillId="0" borderId="14" xfId="1" applyNumberFormat="1" applyFont="1" applyFill="1" applyBorder="1" applyAlignment="1" applyProtection="1">
      <alignment vertical="center"/>
      <protection hidden="1"/>
    </xf>
    <xf numFmtId="165" fontId="19" fillId="4" borderId="14" xfId="1" applyNumberFormat="1" applyFont="1" applyFill="1" applyBorder="1" applyAlignment="1" applyProtection="1">
      <alignment vertical="center"/>
      <protection hidden="1"/>
    </xf>
    <xf numFmtId="165" fontId="21" fillId="3" borderId="14" xfId="1" applyNumberFormat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10" fontId="2" fillId="0" borderId="5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5" xfId="1" applyNumberFormat="1" applyFont="1" applyFill="1" applyBorder="1" applyAlignment="1">
      <alignment horizontal="left" vertical="center" wrapText="1"/>
    </xf>
    <xf numFmtId="166" fontId="19" fillId="3" borderId="15" xfId="1" applyNumberFormat="1" applyFont="1" applyFill="1" applyBorder="1" applyAlignment="1" applyProtection="1">
      <alignment horizontal="left" wrapText="1"/>
      <protection hidden="1"/>
    </xf>
    <xf numFmtId="0" fontId="19" fillId="3" borderId="15" xfId="1" applyNumberFormat="1" applyFont="1" applyFill="1" applyBorder="1" applyAlignment="1" applyProtection="1">
      <alignment horizontal="center" vertical="center" wrapText="1"/>
      <protection hidden="1"/>
    </xf>
    <xf numFmtId="165" fontId="19" fillId="3" borderId="15" xfId="1" applyNumberFormat="1" applyFont="1" applyFill="1" applyBorder="1" applyAlignment="1" applyProtection="1">
      <alignment horizontal="center" vertical="center"/>
      <protection hidden="1"/>
    </xf>
    <xf numFmtId="0" fontId="2" fillId="3" borderId="15" xfId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0" xfId="1" applyFont="1" applyFill="1" applyBorder="1" applyAlignment="1" applyProtection="1">
      <alignment horizontal="center" vertical="top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Font="1" applyFill="1" applyBorder="1" applyAlignment="1" applyProtection="1">
      <alignment horizontal="center" vertical="top"/>
      <protection hidden="1"/>
    </xf>
    <xf numFmtId="166" fontId="28" fillId="2" borderId="5" xfId="1" applyNumberFormat="1" applyFont="1" applyFill="1" applyBorder="1" applyAlignment="1" applyProtection="1">
      <alignment wrapText="1"/>
      <protection hidden="1"/>
    </xf>
    <xf numFmtId="0" fontId="28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28" fillId="2" borderId="5" xfId="1" applyNumberFormat="1" applyFont="1" applyFill="1" applyBorder="1" applyAlignment="1" applyProtection="1">
      <alignment vertical="center"/>
      <protection hidden="1"/>
    </xf>
    <xf numFmtId="165" fontId="28" fillId="2" borderId="5" xfId="1" applyNumberFormat="1" applyFont="1" applyFill="1" applyBorder="1" applyAlignment="1" applyProtection="1">
      <alignment vertical="center" wrapText="1"/>
      <protection hidden="1"/>
    </xf>
    <xf numFmtId="165" fontId="28" fillId="2" borderId="14" xfId="1" applyNumberFormat="1" applyFont="1" applyFill="1" applyBorder="1" applyAlignment="1" applyProtection="1">
      <alignment vertical="center"/>
      <protection hidden="1"/>
    </xf>
    <xf numFmtId="0" fontId="29" fillId="2" borderId="5" xfId="1" applyFont="1" applyFill="1" applyBorder="1" applyAlignment="1">
      <alignment horizontal="left" vertical="center" wrapText="1"/>
    </xf>
    <xf numFmtId="166" fontId="29" fillId="3" borderId="5" xfId="1" applyNumberFormat="1" applyFont="1" applyFill="1" applyBorder="1" applyAlignment="1" applyProtection="1">
      <alignment wrapText="1"/>
      <protection hidden="1"/>
    </xf>
    <xf numFmtId="0" fontId="29" fillId="3" borderId="5" xfId="1" applyNumberFormat="1" applyFont="1" applyFill="1" applyBorder="1" applyAlignment="1" applyProtection="1">
      <alignment horizontal="center" vertical="center" wrapText="1"/>
      <protection hidden="1"/>
    </xf>
    <xf numFmtId="165" fontId="29" fillId="3" borderId="5" xfId="1" applyNumberFormat="1" applyFont="1" applyFill="1" applyBorder="1" applyAlignment="1" applyProtection="1">
      <alignment vertical="center"/>
      <protection hidden="1"/>
    </xf>
    <xf numFmtId="165" fontId="29" fillId="3" borderId="5" xfId="1" applyNumberFormat="1" applyFont="1" applyFill="1" applyBorder="1" applyAlignment="1" applyProtection="1">
      <alignment vertical="center" wrapText="1"/>
      <protection hidden="1"/>
    </xf>
    <xf numFmtId="165" fontId="29" fillId="3" borderId="14" xfId="1" applyNumberFormat="1" applyFont="1" applyFill="1" applyBorder="1" applyAlignment="1" applyProtection="1">
      <alignment vertical="center"/>
      <protection hidden="1"/>
    </xf>
    <xf numFmtId="0" fontId="29" fillId="3" borderId="5" xfId="1" applyFont="1" applyFill="1" applyBorder="1" applyAlignment="1">
      <alignment horizontal="left" vertical="center" wrapText="1"/>
    </xf>
    <xf numFmtId="166" fontId="29" fillId="0" borderId="5" xfId="1" applyNumberFormat="1" applyFont="1" applyFill="1" applyBorder="1" applyAlignment="1" applyProtection="1">
      <alignment wrapText="1"/>
      <protection hidden="1"/>
    </xf>
    <xf numFmtId="0" fontId="29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1" applyNumberFormat="1" applyFont="1" applyFill="1" applyBorder="1" applyAlignment="1" applyProtection="1">
      <alignment vertical="center"/>
      <protection hidden="1"/>
    </xf>
    <xf numFmtId="165" fontId="29" fillId="0" borderId="5" xfId="1" applyNumberFormat="1" applyFont="1" applyFill="1" applyBorder="1" applyAlignment="1" applyProtection="1">
      <alignment vertical="center" wrapText="1"/>
      <protection hidden="1"/>
    </xf>
    <xf numFmtId="165" fontId="29" fillId="0" borderId="14" xfId="1" applyNumberFormat="1" applyFont="1" applyFill="1" applyBorder="1" applyAlignment="1" applyProtection="1">
      <alignment vertical="center"/>
      <protection hidden="1"/>
    </xf>
    <xf numFmtId="0" fontId="29" fillId="0" borderId="5" xfId="1" applyFont="1" applyFill="1" applyBorder="1" applyAlignment="1">
      <alignment horizontal="left" vertical="center" wrapText="1"/>
    </xf>
    <xf numFmtId="165" fontId="29" fillId="2" borderId="5" xfId="1" applyNumberFormat="1" applyFont="1" applyFill="1" applyBorder="1" applyAlignment="1" applyProtection="1">
      <alignment vertical="center" wrapText="1"/>
      <protection hidden="1"/>
    </xf>
    <xf numFmtId="0" fontId="29" fillId="0" borderId="5" xfId="1" applyNumberFormat="1" applyFont="1" applyFill="1" applyBorder="1" applyAlignment="1">
      <alignment horizontal="left" vertical="center" wrapText="1"/>
    </xf>
    <xf numFmtId="49" fontId="29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29" fillId="3" borderId="5" xfId="1" applyNumberFormat="1" applyFont="1" applyFill="1" applyBorder="1" applyAlignment="1" applyProtection="1">
      <alignment horizontal="left" vertical="center" wrapText="1"/>
      <protection hidden="1"/>
    </xf>
    <xf numFmtId="0" fontId="31" fillId="3" borderId="0" xfId="0" applyFont="1" applyFill="1" applyAlignment="1">
      <alignment horizontal="justify" vertical="center"/>
    </xf>
    <xf numFmtId="165" fontId="30" fillId="3" borderId="5" xfId="1" applyNumberFormat="1" applyFont="1" applyFill="1" applyBorder="1" applyAlignment="1" applyProtection="1">
      <alignment vertical="center"/>
      <protection hidden="1"/>
    </xf>
    <xf numFmtId="0" fontId="31" fillId="3" borderId="0" xfId="0" applyFont="1" applyFill="1" applyAlignment="1">
      <alignment horizontal="left" vertical="center" wrapText="1"/>
    </xf>
    <xf numFmtId="165" fontId="30" fillId="3" borderId="14" xfId="1" applyNumberFormat="1" applyFont="1" applyFill="1" applyBorder="1" applyAlignment="1" applyProtection="1">
      <alignment vertical="center"/>
      <protection hidden="1"/>
    </xf>
    <xf numFmtId="0" fontId="32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166" fontId="28" fillId="2" borderId="5" xfId="1" applyNumberFormat="1" applyFont="1" applyFill="1" applyBorder="1" applyAlignment="1" applyProtection="1">
      <alignment horizontal="left" vertical="center" wrapText="1"/>
      <protection hidden="1"/>
    </xf>
    <xf numFmtId="10" fontId="29" fillId="0" borderId="5" xfId="1" applyNumberFormat="1" applyFont="1" applyFill="1" applyBorder="1" applyAlignment="1">
      <alignment horizontal="left" vertical="center" wrapText="1"/>
    </xf>
    <xf numFmtId="168" fontId="29" fillId="0" borderId="5" xfId="1" applyNumberFormat="1" applyFont="1" applyFill="1" applyBorder="1" applyAlignment="1" applyProtection="1">
      <alignment vertical="center"/>
      <protection hidden="1"/>
    </xf>
    <xf numFmtId="165" fontId="29" fillId="4" borderId="5" xfId="1" applyNumberFormat="1" applyFont="1" applyFill="1" applyBorder="1" applyAlignment="1" applyProtection="1">
      <alignment vertical="center" wrapText="1"/>
      <protection hidden="1"/>
    </xf>
    <xf numFmtId="0" fontId="31" fillId="0" borderId="5" xfId="0" applyFont="1" applyBorder="1" applyAlignment="1">
      <alignment horizontal="justify" vertical="center"/>
    </xf>
    <xf numFmtId="0" fontId="31" fillId="0" borderId="14" xfId="0" applyFont="1" applyBorder="1" applyAlignment="1">
      <alignment wrapText="1"/>
    </xf>
    <xf numFmtId="0" fontId="31" fillId="0" borderId="0" xfId="0" applyFont="1" applyAlignment="1">
      <alignment wrapText="1"/>
    </xf>
    <xf numFmtId="165" fontId="29" fillId="4" borderId="5" xfId="1" applyNumberFormat="1" applyFont="1" applyFill="1" applyBorder="1" applyAlignment="1" applyProtection="1">
      <alignment vertical="center"/>
      <protection hidden="1"/>
    </xf>
    <xf numFmtId="165" fontId="29" fillId="4" borderId="14" xfId="1" applyNumberFormat="1" applyFont="1" applyFill="1" applyBorder="1" applyAlignment="1" applyProtection="1">
      <alignment vertical="center"/>
      <protection hidden="1"/>
    </xf>
    <xf numFmtId="165" fontId="29" fillId="4" borderId="5" xfId="1" applyNumberFormat="1" applyFont="1" applyFill="1" applyBorder="1" applyAlignment="1" applyProtection="1">
      <alignment horizontal="left" vertical="center" wrapText="1"/>
      <protection hidden="1"/>
    </xf>
    <xf numFmtId="49" fontId="29" fillId="0" borderId="5" xfId="1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166" fontId="29" fillId="3" borderId="15" xfId="1" applyNumberFormat="1" applyFont="1" applyFill="1" applyBorder="1" applyAlignment="1" applyProtection="1">
      <alignment horizontal="left" wrapText="1"/>
      <protection hidden="1"/>
    </xf>
    <xf numFmtId="0" fontId="29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29" fillId="3" borderId="5" xfId="1" applyNumberFormat="1" applyFont="1" applyFill="1" applyBorder="1" applyAlignment="1" applyProtection="1">
      <alignment horizontal="left" vertical="center" wrapText="1"/>
      <protection hidden="1"/>
    </xf>
    <xf numFmtId="165" fontId="29" fillId="3" borderId="15" xfId="1" applyNumberFormat="1" applyFont="1" applyFill="1" applyBorder="1" applyAlignment="1" applyProtection="1">
      <alignment horizontal="center" vertical="center"/>
      <protection hidden="1"/>
    </xf>
    <xf numFmtId="0" fontId="29" fillId="3" borderId="15" xfId="1" applyFont="1" applyFill="1" applyBorder="1" applyAlignment="1">
      <alignment horizontal="left" vertical="top" wrapText="1"/>
    </xf>
    <xf numFmtId="165" fontId="30" fillId="0" borderId="5" xfId="1" applyNumberFormat="1" applyFont="1" applyFill="1" applyBorder="1" applyAlignment="1" applyProtection="1">
      <alignment vertical="center" wrapText="1"/>
      <protection hidden="1"/>
    </xf>
    <xf numFmtId="165" fontId="33" fillId="0" borderId="5" xfId="1" applyNumberFormat="1" applyFont="1" applyFill="1" applyBorder="1" applyAlignment="1" applyProtection="1">
      <alignment vertical="center" wrapText="1"/>
      <protection hidden="1"/>
    </xf>
    <xf numFmtId="165" fontId="29" fillId="0" borderId="15" xfId="1" applyNumberFormat="1" applyFont="1" applyFill="1" applyBorder="1" applyAlignment="1" applyProtection="1">
      <alignment vertical="center" wrapText="1"/>
      <protection hidden="1"/>
    </xf>
    <xf numFmtId="0" fontId="32" fillId="2" borderId="0" xfId="0" applyFont="1" applyFill="1" applyAlignment="1">
      <alignment horizontal="justify" vertical="center"/>
    </xf>
    <xf numFmtId="0" fontId="31" fillId="2" borderId="7" xfId="0" applyFont="1" applyFill="1" applyBorder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29" fillId="0" borderId="16" xfId="0" applyFont="1" applyBorder="1" applyAlignment="1">
      <alignment horizontal="justify" vertical="center"/>
    </xf>
    <xf numFmtId="49" fontId="29" fillId="0" borderId="5" xfId="1" applyNumberFormat="1" applyFont="1" applyFill="1" applyBorder="1" applyAlignment="1" applyProtection="1">
      <alignment vertical="center" wrapText="1"/>
      <protection hidden="1"/>
    </xf>
    <xf numFmtId="49" fontId="29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4" xfId="1" applyNumberFormat="1" applyFont="1" applyFill="1" applyBorder="1" applyAlignment="1" applyProtection="1">
      <protection hidden="1"/>
    </xf>
    <xf numFmtId="0" fontId="35" fillId="0" borderId="13" xfId="1" applyNumberFormat="1" applyFont="1" applyFill="1" applyBorder="1" applyAlignment="1" applyProtection="1">
      <protection hidden="1"/>
    </xf>
    <xf numFmtId="165" fontId="28" fillId="0" borderId="13" xfId="1" applyNumberFormat="1" applyFont="1" applyFill="1" applyBorder="1" applyAlignment="1" applyProtection="1">
      <alignment vertical="center"/>
      <protection hidden="1"/>
    </xf>
    <xf numFmtId="165" fontId="28" fillId="4" borderId="13" xfId="1" applyNumberFormat="1" applyFont="1" applyFill="1" applyBorder="1" applyAlignment="1" applyProtection="1">
      <alignment vertical="center"/>
      <protection hidden="1"/>
    </xf>
    <xf numFmtId="165" fontId="28" fillId="0" borderId="13" xfId="1" applyNumberFormat="1" applyFont="1" applyFill="1" applyBorder="1" applyAlignment="1" applyProtection="1">
      <alignment vertical="center" wrapText="1"/>
      <protection hidden="1"/>
    </xf>
  </cellXfs>
  <cellStyles count="9">
    <cellStyle name="Обычный" xfId="0" builtinId="0"/>
    <cellStyle name="Обычный 2" xfId="1"/>
    <cellStyle name="Обычный 2 2" xfId="7"/>
    <cellStyle name="Обычный 2 2 2" xfId="8"/>
    <cellStyle name="Обычный 2 3" xfId="3"/>
    <cellStyle name="Обычный 3" xfId="6"/>
    <cellStyle name="Обычный 4" xfId="5"/>
    <cellStyle name="Финансовый 2" xfId="2"/>
    <cellStyle name="Финансовый 2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view="pageBreakPreview" zoomScaleNormal="100" zoomScaleSheetLayoutView="10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R51" sqref="R51"/>
    </sheetView>
  </sheetViews>
  <sheetFormatPr defaultColWidth="9.140625" defaultRowHeight="12.75" outlineLevelRow="1" x14ac:dyDescent="0.2"/>
  <cols>
    <col min="1" max="1" width="0.7109375" style="17" customWidth="1"/>
    <col min="2" max="2" width="73.5703125" style="17" customWidth="1"/>
    <col min="3" max="5" width="5.28515625" style="17" customWidth="1"/>
    <col min="6" max="6" width="14.7109375" style="17" customWidth="1"/>
    <col min="7" max="7" width="10.5703125" style="17" hidden="1" customWidth="1"/>
    <col min="8" max="8" width="15" style="17" customWidth="1"/>
    <col min="9" max="9" width="63.28515625" style="17" hidden="1" customWidth="1"/>
    <col min="10" max="10" width="17.140625" style="17" hidden="1" customWidth="1"/>
    <col min="11" max="11" width="15" style="17" customWidth="1"/>
    <col min="12" max="12" width="63.28515625" style="46" hidden="1" customWidth="1"/>
    <col min="13" max="13" width="17.140625" style="17" customWidth="1"/>
    <col min="14" max="14" width="15" style="17" customWidth="1"/>
    <col min="15" max="15" width="63.28515625" style="46" customWidth="1"/>
    <col min="16" max="241" width="9.140625" style="17" customWidth="1"/>
    <col min="242" max="16384" width="9.140625" style="17"/>
  </cols>
  <sheetData>
    <row r="1" spans="1:15" ht="18.75" x14ac:dyDescent="0.3">
      <c r="I1" s="22" t="s">
        <v>38</v>
      </c>
      <c r="L1" s="39" t="s">
        <v>38</v>
      </c>
      <c r="O1" s="61" t="s">
        <v>38</v>
      </c>
    </row>
    <row r="2" spans="1:15" ht="18.75" x14ac:dyDescent="0.3">
      <c r="I2" s="22" t="s">
        <v>39</v>
      </c>
      <c r="L2" s="39" t="s">
        <v>39</v>
      </c>
      <c r="O2" s="61" t="s">
        <v>39</v>
      </c>
    </row>
    <row r="3" spans="1:15" ht="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40"/>
      <c r="M3" s="16"/>
      <c r="N3" s="16"/>
      <c r="O3" s="40"/>
    </row>
    <row r="4" spans="1:15" ht="27.75" customHeight="1" thickBot="1" x14ac:dyDescent="0.3">
      <c r="A4" s="16"/>
      <c r="B4" s="164" t="s">
        <v>201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s="15" customFormat="1" ht="93.75" customHeight="1" thickBot="1" x14ac:dyDescent="0.3">
      <c r="A5" s="14"/>
      <c r="B5" s="8" t="s">
        <v>32</v>
      </c>
      <c r="C5" s="161" t="s">
        <v>33</v>
      </c>
      <c r="D5" s="162"/>
      <c r="E5" s="163"/>
      <c r="F5" s="8" t="s">
        <v>34</v>
      </c>
      <c r="G5" s="47" t="s">
        <v>35</v>
      </c>
      <c r="H5" s="8" t="s">
        <v>202</v>
      </c>
      <c r="I5" s="8" t="s">
        <v>37</v>
      </c>
      <c r="J5" s="47" t="s">
        <v>35</v>
      </c>
      <c r="K5" s="8" t="s">
        <v>249</v>
      </c>
      <c r="L5" s="48" t="s">
        <v>37</v>
      </c>
      <c r="M5" s="57" t="s">
        <v>35</v>
      </c>
      <c r="N5" s="8" t="s">
        <v>36</v>
      </c>
      <c r="O5" s="58" t="s">
        <v>37</v>
      </c>
    </row>
    <row r="6" spans="1:15" ht="12" customHeight="1" x14ac:dyDescent="0.25">
      <c r="A6" s="16"/>
      <c r="B6" s="55" t="s">
        <v>12</v>
      </c>
      <c r="C6" s="7"/>
      <c r="D6" s="7"/>
      <c r="E6" s="7"/>
      <c r="F6" s="7"/>
      <c r="G6" s="7"/>
      <c r="H6" s="7"/>
      <c r="I6" s="7"/>
      <c r="J6" s="7"/>
      <c r="K6" s="7"/>
      <c r="L6" s="41"/>
      <c r="M6" s="7"/>
      <c r="N6" s="7"/>
      <c r="O6" s="41"/>
    </row>
    <row r="7" spans="1:15" s="30" customFormat="1" ht="24.75" customHeight="1" x14ac:dyDescent="0.2">
      <c r="A7" s="27"/>
      <c r="B7" s="49" t="s">
        <v>40</v>
      </c>
      <c r="C7" s="28" t="s">
        <v>8</v>
      </c>
      <c r="D7" s="28" t="s">
        <v>3</v>
      </c>
      <c r="E7" s="28" t="s">
        <v>3</v>
      </c>
      <c r="F7" s="29">
        <f>SUM(F8,F10,F12)</f>
        <v>36172.300000000003</v>
      </c>
      <c r="G7" s="29">
        <f t="shared" ref="G7:H7" si="0">SUM(G8,G10,G12)</f>
        <v>0</v>
      </c>
      <c r="H7" s="29">
        <f t="shared" si="0"/>
        <v>36172.300000000003</v>
      </c>
      <c r="I7" s="29"/>
      <c r="J7" s="29">
        <f t="shared" ref="J7:K7" si="1">SUM(J8,J10,J12)</f>
        <v>0</v>
      </c>
      <c r="K7" s="29">
        <f t="shared" si="1"/>
        <v>36172.300000000003</v>
      </c>
      <c r="L7" s="42"/>
      <c r="M7" s="29">
        <f t="shared" ref="M7:N7" si="2">SUM(M8,M10,M12)</f>
        <v>0</v>
      </c>
      <c r="N7" s="29">
        <f t="shared" si="2"/>
        <v>36172.300000000003</v>
      </c>
      <c r="O7" s="42"/>
    </row>
    <row r="8" spans="1:15" s="21" customFormat="1" ht="28.5" customHeight="1" x14ac:dyDescent="0.2">
      <c r="A8" s="18"/>
      <c r="B8" s="52" t="s">
        <v>41</v>
      </c>
      <c r="C8" s="19" t="s">
        <v>8</v>
      </c>
      <c r="D8" s="19" t="s">
        <v>12</v>
      </c>
      <c r="E8" s="19" t="s">
        <v>3</v>
      </c>
      <c r="F8" s="20">
        <f>SUM(F9)</f>
        <v>1500</v>
      </c>
      <c r="G8" s="20">
        <f t="shared" ref="G8:N8" si="3">SUM(G9)</f>
        <v>0</v>
      </c>
      <c r="H8" s="20">
        <f t="shared" si="3"/>
        <v>1500</v>
      </c>
      <c r="I8" s="20"/>
      <c r="J8" s="20">
        <f t="shared" si="3"/>
        <v>0</v>
      </c>
      <c r="K8" s="20">
        <f t="shared" si="3"/>
        <v>1500</v>
      </c>
      <c r="L8" s="43"/>
      <c r="M8" s="20">
        <f t="shared" si="3"/>
        <v>282.7</v>
      </c>
      <c r="N8" s="20">
        <f t="shared" si="3"/>
        <v>1782.7</v>
      </c>
      <c r="O8" s="34" t="s">
        <v>301</v>
      </c>
    </row>
    <row r="9" spans="1:15" ht="4.5" hidden="1" customHeight="1" outlineLevel="1" x14ac:dyDescent="0.2">
      <c r="A9" s="23"/>
      <c r="B9" s="50" t="s">
        <v>42</v>
      </c>
      <c r="C9" s="25" t="s">
        <v>8</v>
      </c>
      <c r="D9" s="25" t="s">
        <v>12</v>
      </c>
      <c r="E9" s="25" t="s">
        <v>8</v>
      </c>
      <c r="F9" s="9">
        <v>1500</v>
      </c>
      <c r="G9" s="9"/>
      <c r="H9" s="9">
        <f>SUM(F9:G9)</f>
        <v>1500</v>
      </c>
      <c r="I9" s="9"/>
      <c r="J9" s="9"/>
      <c r="K9" s="9">
        <f>SUM(H9,J9)</f>
        <v>1500</v>
      </c>
      <c r="L9" s="32"/>
      <c r="M9" s="9">
        <v>282.7</v>
      </c>
      <c r="N9" s="9">
        <f>SUM(K9,M9)</f>
        <v>1782.7</v>
      </c>
      <c r="O9" s="32" t="s">
        <v>285</v>
      </c>
    </row>
    <row r="10" spans="1:15" s="21" customFormat="1" ht="38.25" customHeight="1" collapsed="1" x14ac:dyDescent="0.2">
      <c r="A10" s="18"/>
      <c r="B10" s="52" t="s">
        <v>43</v>
      </c>
      <c r="C10" s="19" t="s">
        <v>8</v>
      </c>
      <c r="D10" s="19" t="s">
        <v>10</v>
      </c>
      <c r="E10" s="19" t="s">
        <v>3</v>
      </c>
      <c r="F10" s="20">
        <f>SUM(F11)</f>
        <v>400</v>
      </c>
      <c r="G10" s="20">
        <f t="shared" ref="G10:N10" si="4">SUM(G11)</f>
        <v>0</v>
      </c>
      <c r="H10" s="20">
        <f t="shared" si="4"/>
        <v>400</v>
      </c>
      <c r="I10" s="20"/>
      <c r="J10" s="20">
        <f t="shared" si="4"/>
        <v>0</v>
      </c>
      <c r="K10" s="20">
        <f t="shared" si="4"/>
        <v>400</v>
      </c>
      <c r="L10" s="43"/>
      <c r="M10" s="20">
        <f t="shared" si="4"/>
        <v>-282.7</v>
      </c>
      <c r="N10" s="20">
        <f t="shared" si="4"/>
        <v>117.30000000000001</v>
      </c>
      <c r="O10" s="34" t="s">
        <v>286</v>
      </c>
    </row>
    <row r="11" spans="1:15" ht="34.5" hidden="1" customHeight="1" outlineLevel="1" x14ac:dyDescent="0.2">
      <c r="A11" s="23"/>
      <c r="B11" s="50" t="s">
        <v>44</v>
      </c>
      <c r="C11" s="25" t="s">
        <v>8</v>
      </c>
      <c r="D11" s="25" t="s">
        <v>10</v>
      </c>
      <c r="E11" s="25" t="s">
        <v>8</v>
      </c>
      <c r="F11" s="9">
        <v>400</v>
      </c>
      <c r="G11" s="9"/>
      <c r="H11" s="9">
        <f>SUM(F11:G11)</f>
        <v>400</v>
      </c>
      <c r="I11" s="9"/>
      <c r="J11" s="9"/>
      <c r="K11" s="9">
        <f>SUM(H11,J11)</f>
        <v>400</v>
      </c>
      <c r="L11" s="32"/>
      <c r="M11" s="9">
        <v>-282.7</v>
      </c>
      <c r="N11" s="9">
        <f>SUM(K11,M11)</f>
        <v>117.30000000000001</v>
      </c>
      <c r="O11" s="32" t="s">
        <v>286</v>
      </c>
    </row>
    <row r="12" spans="1:15" s="21" customFormat="1" ht="12.75" customHeight="1" collapsed="1" x14ac:dyDescent="0.2">
      <c r="A12" s="18"/>
      <c r="B12" s="52" t="s">
        <v>45</v>
      </c>
      <c r="C12" s="19" t="s">
        <v>8</v>
      </c>
      <c r="D12" s="19" t="s">
        <v>14</v>
      </c>
      <c r="E12" s="19" t="s">
        <v>3</v>
      </c>
      <c r="F12" s="20">
        <f>SUM(F13:F14)</f>
        <v>34272.300000000003</v>
      </c>
      <c r="G12" s="20">
        <f t="shared" ref="G12:H12" si="5">SUM(G13:G14)</f>
        <v>0</v>
      </c>
      <c r="H12" s="20">
        <f t="shared" si="5"/>
        <v>34272.300000000003</v>
      </c>
      <c r="I12" s="20"/>
      <c r="J12" s="20">
        <f t="shared" ref="J12:K12" si="6">SUM(J13:J14)</f>
        <v>0</v>
      </c>
      <c r="K12" s="20">
        <f t="shared" si="6"/>
        <v>34272.300000000003</v>
      </c>
      <c r="L12" s="43"/>
      <c r="M12" s="20">
        <f t="shared" ref="M12:N12" si="7">SUM(M13:M14)</f>
        <v>0</v>
      </c>
      <c r="N12" s="20">
        <f t="shared" si="7"/>
        <v>34272.300000000003</v>
      </c>
      <c r="O12" s="43"/>
    </row>
    <row r="13" spans="1:15" ht="33.75" hidden="1" outlineLevel="1" x14ac:dyDescent="0.2">
      <c r="A13" s="23"/>
      <c r="B13" s="50" t="s">
        <v>46</v>
      </c>
      <c r="C13" s="25" t="s">
        <v>8</v>
      </c>
      <c r="D13" s="25" t="s">
        <v>14</v>
      </c>
      <c r="E13" s="25" t="s">
        <v>8</v>
      </c>
      <c r="F13" s="9">
        <v>33972.300000000003</v>
      </c>
      <c r="G13" s="9"/>
      <c r="H13" s="9">
        <f>SUM(F13:G13)</f>
        <v>33972.300000000003</v>
      </c>
      <c r="I13" s="9"/>
      <c r="J13" s="9"/>
      <c r="K13" s="9">
        <f t="shared" ref="K13:K14" si="8">SUM(H13,J13)</f>
        <v>33972.300000000003</v>
      </c>
      <c r="L13" s="32"/>
      <c r="M13" s="9">
        <v>5</v>
      </c>
      <c r="N13" s="9">
        <f t="shared" ref="N13:N14" si="9">SUM(K13,M13)</f>
        <v>33977.300000000003</v>
      </c>
      <c r="O13" s="32" t="s">
        <v>264</v>
      </c>
    </row>
    <row r="14" spans="1:15" ht="21.75" hidden="1" customHeight="1" outlineLevel="1" x14ac:dyDescent="0.2">
      <c r="A14" s="23"/>
      <c r="B14" s="50" t="s">
        <v>47</v>
      </c>
      <c r="C14" s="25" t="s">
        <v>8</v>
      </c>
      <c r="D14" s="25" t="s">
        <v>14</v>
      </c>
      <c r="E14" s="25" t="s">
        <v>7</v>
      </c>
      <c r="F14" s="9">
        <v>300</v>
      </c>
      <c r="G14" s="9"/>
      <c r="H14" s="9">
        <f>SUM(F14:G14)</f>
        <v>300</v>
      </c>
      <c r="I14" s="9"/>
      <c r="J14" s="9"/>
      <c r="K14" s="9">
        <f t="shared" si="8"/>
        <v>300</v>
      </c>
      <c r="L14" s="32"/>
      <c r="M14" s="9">
        <v>-5</v>
      </c>
      <c r="N14" s="9">
        <f t="shared" si="9"/>
        <v>295</v>
      </c>
      <c r="O14" s="32" t="s">
        <v>261</v>
      </c>
    </row>
    <row r="15" spans="1:15" s="30" customFormat="1" ht="21.75" customHeight="1" collapsed="1" x14ac:dyDescent="0.2">
      <c r="A15" s="27"/>
      <c r="B15" s="49" t="s">
        <v>48</v>
      </c>
      <c r="C15" s="28" t="s">
        <v>7</v>
      </c>
      <c r="D15" s="28" t="s">
        <v>3</v>
      </c>
      <c r="E15" s="28" t="s">
        <v>3</v>
      </c>
      <c r="F15" s="29">
        <f>SUM(F16:F19)</f>
        <v>3951</v>
      </c>
      <c r="G15" s="29">
        <f t="shared" ref="G15:H15" si="10">SUM(G16:G19)</f>
        <v>0</v>
      </c>
      <c r="H15" s="29">
        <f t="shared" si="10"/>
        <v>3951</v>
      </c>
      <c r="I15" s="29"/>
      <c r="J15" s="29">
        <f t="shared" ref="J15:K15" si="11">SUM(J16:J19)</f>
        <v>0</v>
      </c>
      <c r="K15" s="29">
        <f t="shared" si="11"/>
        <v>3951</v>
      </c>
      <c r="L15" s="42"/>
      <c r="M15" s="29">
        <f t="shared" ref="M15:N15" si="12">SUM(M16:M19)</f>
        <v>0</v>
      </c>
      <c r="N15" s="29">
        <f t="shared" si="12"/>
        <v>3951</v>
      </c>
      <c r="O15" s="42"/>
    </row>
    <row r="16" spans="1:15" ht="21.75" hidden="1" customHeight="1" outlineLevel="1" x14ac:dyDescent="0.2">
      <c r="A16" s="23"/>
      <c r="B16" s="50" t="s">
        <v>49</v>
      </c>
      <c r="C16" s="25" t="s">
        <v>7</v>
      </c>
      <c r="D16" s="25" t="s">
        <v>1</v>
      </c>
      <c r="E16" s="25" t="s">
        <v>8</v>
      </c>
      <c r="F16" s="9">
        <v>3525.5</v>
      </c>
      <c r="G16" s="9"/>
      <c r="H16" s="9">
        <f>SUM(F16:G16)</f>
        <v>3525.5</v>
      </c>
      <c r="I16" s="9"/>
      <c r="J16" s="9"/>
      <c r="K16" s="9">
        <f t="shared" ref="K16:K19" si="13">SUM(H16,J16)</f>
        <v>3525.5</v>
      </c>
      <c r="L16" s="32"/>
      <c r="M16" s="9"/>
      <c r="N16" s="9">
        <f t="shared" ref="N16:N19" si="14">SUM(K16,M16)</f>
        <v>3525.5</v>
      </c>
      <c r="O16" s="32"/>
    </row>
    <row r="17" spans="1:15" ht="32.25" hidden="1" customHeight="1" outlineLevel="1" x14ac:dyDescent="0.2">
      <c r="A17" s="23"/>
      <c r="B17" s="50" t="s">
        <v>50</v>
      </c>
      <c r="C17" s="25" t="s">
        <v>7</v>
      </c>
      <c r="D17" s="25" t="s">
        <v>1</v>
      </c>
      <c r="E17" s="25" t="s">
        <v>7</v>
      </c>
      <c r="F17" s="9">
        <v>0.5</v>
      </c>
      <c r="G17" s="9"/>
      <c r="H17" s="9">
        <f t="shared" ref="H17:H19" si="15">SUM(F17:G17)</f>
        <v>0.5</v>
      </c>
      <c r="I17" s="9"/>
      <c r="J17" s="9"/>
      <c r="K17" s="9">
        <f t="shared" si="13"/>
        <v>0.5</v>
      </c>
      <c r="L17" s="32"/>
      <c r="M17" s="9"/>
      <c r="N17" s="9">
        <f t="shared" si="14"/>
        <v>0.5</v>
      </c>
      <c r="O17" s="32"/>
    </row>
    <row r="18" spans="1:15" ht="12.75" hidden="1" customHeight="1" outlineLevel="1" x14ac:dyDescent="0.2">
      <c r="A18" s="23"/>
      <c r="B18" s="50" t="s">
        <v>51</v>
      </c>
      <c r="C18" s="25" t="s">
        <v>7</v>
      </c>
      <c r="D18" s="25" t="s">
        <v>1</v>
      </c>
      <c r="E18" s="25" t="s">
        <v>13</v>
      </c>
      <c r="F18" s="9">
        <v>400</v>
      </c>
      <c r="G18" s="9"/>
      <c r="H18" s="9">
        <f>SUM(F18:G18)</f>
        <v>400</v>
      </c>
      <c r="I18" s="9"/>
      <c r="J18" s="9"/>
      <c r="K18" s="9">
        <f t="shared" si="13"/>
        <v>400</v>
      </c>
      <c r="L18" s="32"/>
      <c r="M18" s="9"/>
      <c r="N18" s="9">
        <f t="shared" si="14"/>
        <v>400</v>
      </c>
      <c r="O18" s="32"/>
    </row>
    <row r="19" spans="1:15" ht="12.75" hidden="1" customHeight="1" outlineLevel="1" x14ac:dyDescent="0.2">
      <c r="A19" s="23"/>
      <c r="B19" s="50" t="s">
        <v>52</v>
      </c>
      <c r="C19" s="25" t="s">
        <v>7</v>
      </c>
      <c r="D19" s="25" t="s">
        <v>1</v>
      </c>
      <c r="E19" s="25" t="s">
        <v>6</v>
      </c>
      <c r="F19" s="9">
        <v>25</v>
      </c>
      <c r="G19" s="9"/>
      <c r="H19" s="9">
        <f t="shared" si="15"/>
        <v>25</v>
      </c>
      <c r="I19" s="9"/>
      <c r="J19" s="9"/>
      <c r="K19" s="9">
        <f t="shared" si="13"/>
        <v>25</v>
      </c>
      <c r="L19" s="32"/>
      <c r="M19" s="9"/>
      <c r="N19" s="9">
        <f t="shared" si="14"/>
        <v>25</v>
      </c>
      <c r="O19" s="32"/>
    </row>
    <row r="20" spans="1:15" s="30" customFormat="1" ht="21.75" customHeight="1" collapsed="1" x14ac:dyDescent="0.2">
      <c r="A20" s="27"/>
      <c r="B20" s="49" t="s">
        <v>53</v>
      </c>
      <c r="C20" s="28" t="s">
        <v>13</v>
      </c>
      <c r="D20" s="28" t="s">
        <v>3</v>
      </c>
      <c r="E20" s="28" t="s">
        <v>3</v>
      </c>
      <c r="F20" s="29">
        <f>SUM(F21:G26)</f>
        <v>5123.6999999999989</v>
      </c>
      <c r="G20" s="29">
        <f>SUM(G21:H26)</f>
        <v>5123.6999999999989</v>
      </c>
      <c r="H20" s="29">
        <f>SUM(H21:I26)</f>
        <v>5123.6999999999989</v>
      </c>
      <c r="I20" s="29"/>
      <c r="J20" s="29">
        <f>SUM(J21:J26)</f>
        <v>1.2505552149377763E-12</v>
      </c>
      <c r="K20" s="29">
        <f>SUM(K21:K26)</f>
        <v>5123.7</v>
      </c>
      <c r="L20" s="42"/>
      <c r="M20" s="29">
        <f>SUM(M21:M26)</f>
        <v>0</v>
      </c>
      <c r="N20" s="29">
        <f>SUM(N21:N26)</f>
        <v>5123.7</v>
      </c>
      <c r="O20" s="42"/>
    </row>
    <row r="21" spans="1:15" ht="21.75" hidden="1" customHeight="1" outlineLevel="1" x14ac:dyDescent="0.2">
      <c r="A21" s="23"/>
      <c r="B21" s="50" t="s">
        <v>54</v>
      </c>
      <c r="C21" s="25" t="s">
        <v>13</v>
      </c>
      <c r="D21" s="25" t="s">
        <v>1</v>
      </c>
      <c r="E21" s="25" t="s">
        <v>8</v>
      </c>
      <c r="F21" s="9">
        <v>516.9</v>
      </c>
      <c r="G21" s="9"/>
      <c r="H21" s="9">
        <f>SUM(F21:G21)</f>
        <v>516.9</v>
      </c>
      <c r="I21" s="9"/>
      <c r="J21" s="9">
        <v>-516.9</v>
      </c>
      <c r="K21" s="9">
        <f t="shared" ref="K21:K26" si="16">SUM(H21,J21)</f>
        <v>0</v>
      </c>
      <c r="L21" s="32"/>
      <c r="M21" s="9"/>
      <c r="N21" s="9">
        <f t="shared" ref="N21:N26" si="17">SUM(K21,M21)</f>
        <v>0</v>
      </c>
      <c r="O21" s="32"/>
    </row>
    <row r="22" spans="1:15" ht="21.75" hidden="1" customHeight="1" outlineLevel="1" x14ac:dyDescent="0.2">
      <c r="A22" s="23"/>
      <c r="B22" s="50" t="s">
        <v>55</v>
      </c>
      <c r="C22" s="25" t="s">
        <v>13</v>
      </c>
      <c r="D22" s="25" t="s">
        <v>1</v>
      </c>
      <c r="E22" s="25" t="s">
        <v>7</v>
      </c>
      <c r="F22" s="9">
        <v>4425</v>
      </c>
      <c r="G22" s="9"/>
      <c r="H22" s="9">
        <f t="shared" ref="H22:H26" si="18">SUM(F22:G22)</f>
        <v>4425</v>
      </c>
      <c r="I22" s="9"/>
      <c r="J22" s="9">
        <v>-4425</v>
      </c>
      <c r="K22" s="9">
        <f t="shared" si="16"/>
        <v>0</v>
      </c>
      <c r="L22" s="32"/>
      <c r="M22" s="9"/>
      <c r="N22" s="9">
        <f t="shared" si="17"/>
        <v>0</v>
      </c>
      <c r="O22" s="32"/>
    </row>
    <row r="23" spans="1:15" ht="12.75" hidden="1" customHeight="1" outlineLevel="1" x14ac:dyDescent="0.2">
      <c r="A23" s="23"/>
      <c r="B23" s="50" t="s">
        <v>56</v>
      </c>
      <c r="C23" s="25" t="s">
        <v>13</v>
      </c>
      <c r="D23" s="25" t="s">
        <v>1</v>
      </c>
      <c r="E23" s="25" t="s">
        <v>13</v>
      </c>
      <c r="F23" s="9">
        <v>90.9</v>
      </c>
      <c r="G23" s="9"/>
      <c r="H23" s="9">
        <f t="shared" si="18"/>
        <v>90.9</v>
      </c>
      <c r="I23" s="9"/>
      <c r="J23" s="9">
        <v>-90.9</v>
      </c>
      <c r="K23" s="9">
        <f t="shared" si="16"/>
        <v>0</v>
      </c>
      <c r="L23" s="32"/>
      <c r="M23" s="9"/>
      <c r="N23" s="9">
        <f t="shared" si="17"/>
        <v>0</v>
      </c>
      <c r="O23" s="32"/>
    </row>
    <row r="24" spans="1:15" ht="12.75" hidden="1" customHeight="1" outlineLevel="1" x14ac:dyDescent="0.2">
      <c r="A24" s="23"/>
      <c r="B24" s="50" t="s">
        <v>57</v>
      </c>
      <c r="C24" s="25" t="s">
        <v>13</v>
      </c>
      <c r="D24" s="25" t="s">
        <v>1</v>
      </c>
      <c r="E24" s="25" t="s">
        <v>6</v>
      </c>
      <c r="F24" s="9">
        <v>90.9</v>
      </c>
      <c r="G24" s="9"/>
      <c r="H24" s="9">
        <f t="shared" si="18"/>
        <v>90.9</v>
      </c>
      <c r="I24" s="9"/>
      <c r="J24" s="9">
        <v>-90.9</v>
      </c>
      <c r="K24" s="9">
        <f t="shared" si="16"/>
        <v>0</v>
      </c>
      <c r="L24" s="32"/>
      <c r="M24" s="9"/>
      <c r="N24" s="9">
        <f t="shared" si="17"/>
        <v>0</v>
      </c>
      <c r="O24" s="32"/>
    </row>
    <row r="25" spans="1:15" ht="22.5" hidden="1" outlineLevel="1" x14ac:dyDescent="0.2">
      <c r="A25" s="23"/>
      <c r="B25" s="50" t="s">
        <v>236</v>
      </c>
      <c r="C25" s="25" t="s">
        <v>13</v>
      </c>
      <c r="D25" s="25" t="s">
        <v>1</v>
      </c>
      <c r="E25" s="25" t="s">
        <v>237</v>
      </c>
      <c r="F25" s="9">
        <v>0</v>
      </c>
      <c r="G25" s="9"/>
      <c r="H25" s="9">
        <f t="shared" si="18"/>
        <v>0</v>
      </c>
      <c r="I25" s="9"/>
      <c r="J25" s="9">
        <v>4511.8</v>
      </c>
      <c r="K25" s="9">
        <f t="shared" si="16"/>
        <v>4511.8</v>
      </c>
      <c r="L25" s="32"/>
      <c r="M25" s="9"/>
      <c r="N25" s="9">
        <f t="shared" si="17"/>
        <v>4511.8</v>
      </c>
      <c r="O25" s="32"/>
    </row>
    <row r="26" spans="1:15" ht="12.75" hidden="1" customHeight="1" outlineLevel="1" x14ac:dyDescent="0.2">
      <c r="A26" s="23"/>
      <c r="B26" s="50" t="s">
        <v>239</v>
      </c>
      <c r="C26" s="25" t="s">
        <v>13</v>
      </c>
      <c r="D26" s="25" t="s">
        <v>1</v>
      </c>
      <c r="E26" s="25" t="s">
        <v>238</v>
      </c>
      <c r="F26" s="9">
        <v>0</v>
      </c>
      <c r="G26" s="9"/>
      <c r="H26" s="9">
        <f t="shared" si="18"/>
        <v>0</v>
      </c>
      <c r="I26" s="9"/>
      <c r="J26" s="9">
        <v>611.9</v>
      </c>
      <c r="K26" s="9">
        <f t="shared" si="16"/>
        <v>611.9</v>
      </c>
      <c r="L26" s="32"/>
      <c r="M26" s="9"/>
      <c r="N26" s="9">
        <f t="shared" si="17"/>
        <v>611.9</v>
      </c>
      <c r="O26" s="32"/>
    </row>
    <row r="27" spans="1:15" s="30" customFormat="1" ht="21.75" customHeight="1" collapsed="1" x14ac:dyDescent="0.2">
      <c r="A27" s="27"/>
      <c r="B27" s="49" t="s">
        <v>58</v>
      </c>
      <c r="C27" s="28" t="s">
        <v>6</v>
      </c>
      <c r="D27" s="28" t="s">
        <v>3</v>
      </c>
      <c r="E27" s="28" t="s">
        <v>3</v>
      </c>
      <c r="F27" s="29">
        <f>SUM(F28)</f>
        <v>400</v>
      </c>
      <c r="G27" s="29">
        <f t="shared" ref="G27:N27" si="19">SUM(G28)</f>
        <v>0</v>
      </c>
      <c r="H27" s="29">
        <f t="shared" si="19"/>
        <v>400</v>
      </c>
      <c r="I27" s="29"/>
      <c r="J27" s="29">
        <f t="shared" si="19"/>
        <v>0</v>
      </c>
      <c r="K27" s="29">
        <f t="shared" si="19"/>
        <v>400</v>
      </c>
      <c r="L27" s="42"/>
      <c r="M27" s="29">
        <f t="shared" si="19"/>
        <v>0</v>
      </c>
      <c r="N27" s="29">
        <f t="shared" si="19"/>
        <v>400</v>
      </c>
      <c r="O27" s="42"/>
    </row>
    <row r="28" spans="1:15" ht="12.75" hidden="1" customHeight="1" outlineLevel="1" x14ac:dyDescent="0.2">
      <c r="A28" s="23"/>
      <c r="B28" s="24"/>
      <c r="C28" s="25" t="s">
        <v>6</v>
      </c>
      <c r="D28" s="25" t="s">
        <v>1</v>
      </c>
      <c r="E28" s="25" t="s">
        <v>8</v>
      </c>
      <c r="F28" s="9">
        <v>400</v>
      </c>
      <c r="G28" s="9"/>
      <c r="H28" s="9">
        <f>SUM(F28:G28)</f>
        <v>400</v>
      </c>
      <c r="I28" s="9"/>
      <c r="J28" s="9"/>
      <c r="K28" s="9">
        <f>SUM(H28,J28)</f>
        <v>400</v>
      </c>
      <c r="L28" s="32"/>
      <c r="M28" s="9"/>
      <c r="N28" s="9">
        <f>SUM(K28,M28)</f>
        <v>400</v>
      </c>
      <c r="O28" s="32"/>
    </row>
    <row r="29" spans="1:15" s="30" customFormat="1" ht="21.75" customHeight="1" collapsed="1" x14ac:dyDescent="0.2">
      <c r="A29" s="27"/>
      <c r="B29" s="49" t="s">
        <v>59</v>
      </c>
      <c r="C29" s="28" t="s">
        <v>5</v>
      </c>
      <c r="D29" s="28" t="s">
        <v>3</v>
      </c>
      <c r="E29" s="28" t="s">
        <v>3</v>
      </c>
      <c r="F29" s="29">
        <f>SUM(F30,F32)</f>
        <v>35967.300000000003</v>
      </c>
      <c r="G29" s="29">
        <f t="shared" ref="G29:H29" si="20">SUM(G30,G32)</f>
        <v>0</v>
      </c>
      <c r="H29" s="29">
        <f t="shared" si="20"/>
        <v>35967.300000000003</v>
      </c>
      <c r="I29" s="29"/>
      <c r="J29" s="29">
        <f t="shared" ref="J29:K29" si="21">SUM(J30,J32)</f>
        <v>0</v>
      </c>
      <c r="K29" s="29">
        <f t="shared" si="21"/>
        <v>35967.300000000003</v>
      </c>
      <c r="L29" s="42"/>
      <c r="M29" s="29">
        <f t="shared" ref="M29:N29" si="22">SUM(M30,M32)</f>
        <v>0</v>
      </c>
      <c r="N29" s="29">
        <f t="shared" si="22"/>
        <v>35967.300000000003</v>
      </c>
      <c r="O29" s="42"/>
    </row>
    <row r="30" spans="1:15" s="13" customFormat="1" ht="12.75" customHeight="1" x14ac:dyDescent="0.2">
      <c r="A30" s="10"/>
      <c r="B30" s="51" t="s">
        <v>60</v>
      </c>
      <c r="C30" s="11" t="s">
        <v>5</v>
      </c>
      <c r="D30" s="11" t="s">
        <v>12</v>
      </c>
      <c r="E30" s="11" t="s">
        <v>3</v>
      </c>
      <c r="F30" s="12">
        <f>SUM(F31)</f>
        <v>31790.3</v>
      </c>
      <c r="G30" s="12">
        <f t="shared" ref="G30:N30" si="23">SUM(G31)</f>
        <v>0</v>
      </c>
      <c r="H30" s="12">
        <f t="shared" si="23"/>
        <v>31790.3</v>
      </c>
      <c r="I30" s="12"/>
      <c r="J30" s="12">
        <f t="shared" si="23"/>
        <v>0</v>
      </c>
      <c r="K30" s="12">
        <f t="shared" si="23"/>
        <v>31790.3</v>
      </c>
      <c r="L30" s="34"/>
      <c r="M30" s="12">
        <f t="shared" si="23"/>
        <v>0</v>
      </c>
      <c r="N30" s="12">
        <f t="shared" si="23"/>
        <v>31790.3</v>
      </c>
      <c r="O30" s="34"/>
    </row>
    <row r="31" spans="1:15" ht="21.75" hidden="1" customHeight="1" outlineLevel="1" x14ac:dyDescent="0.2">
      <c r="A31" s="23"/>
      <c r="B31" s="50" t="s">
        <v>61</v>
      </c>
      <c r="C31" s="25" t="s">
        <v>5</v>
      </c>
      <c r="D31" s="25" t="s">
        <v>12</v>
      </c>
      <c r="E31" s="25" t="s">
        <v>8</v>
      </c>
      <c r="F31" s="9">
        <v>31790.3</v>
      </c>
      <c r="G31" s="9"/>
      <c r="H31" s="9">
        <f>SUM(F31:G31)</f>
        <v>31790.3</v>
      </c>
      <c r="I31" s="9"/>
      <c r="J31" s="9"/>
      <c r="K31" s="9">
        <f>SUM(H31,J31)</f>
        <v>31790.3</v>
      </c>
      <c r="L31" s="32"/>
      <c r="M31" s="9"/>
      <c r="N31" s="9">
        <f>SUM(K31,M31)</f>
        <v>31790.3</v>
      </c>
      <c r="O31" s="32"/>
    </row>
    <row r="32" spans="1:15" s="13" customFormat="1" ht="12.75" customHeight="1" collapsed="1" x14ac:dyDescent="0.2">
      <c r="A32" s="10"/>
      <c r="B32" s="51" t="s">
        <v>62</v>
      </c>
      <c r="C32" s="11" t="s">
        <v>5</v>
      </c>
      <c r="D32" s="11" t="s">
        <v>10</v>
      </c>
      <c r="E32" s="11" t="s">
        <v>3</v>
      </c>
      <c r="F32" s="12">
        <f>SUM(F33)</f>
        <v>4177</v>
      </c>
      <c r="G32" s="12">
        <f t="shared" ref="G32:N32" si="24">SUM(G33)</f>
        <v>0</v>
      </c>
      <c r="H32" s="12">
        <f t="shared" si="24"/>
        <v>4177</v>
      </c>
      <c r="I32" s="12"/>
      <c r="J32" s="12">
        <f t="shared" si="24"/>
        <v>0</v>
      </c>
      <c r="K32" s="12">
        <f t="shared" si="24"/>
        <v>4177</v>
      </c>
      <c r="L32" s="34"/>
      <c r="M32" s="12">
        <f t="shared" si="24"/>
        <v>0</v>
      </c>
      <c r="N32" s="12">
        <f t="shared" si="24"/>
        <v>4177</v>
      </c>
      <c r="O32" s="34"/>
    </row>
    <row r="33" spans="1:15" ht="12.75" hidden="1" customHeight="1" outlineLevel="1" x14ac:dyDescent="0.2">
      <c r="A33" s="23"/>
      <c r="B33" s="50" t="s">
        <v>63</v>
      </c>
      <c r="C33" s="25" t="s">
        <v>5</v>
      </c>
      <c r="D33" s="25" t="s">
        <v>10</v>
      </c>
      <c r="E33" s="25" t="s">
        <v>8</v>
      </c>
      <c r="F33" s="9">
        <v>4177</v>
      </c>
      <c r="G33" s="9"/>
      <c r="H33" s="9">
        <f>SUM(F33:G33)</f>
        <v>4177</v>
      </c>
      <c r="I33" s="9"/>
      <c r="J33" s="9"/>
      <c r="K33" s="9">
        <f>SUM(H33,J33)</f>
        <v>4177</v>
      </c>
      <c r="L33" s="32"/>
      <c r="M33" s="9"/>
      <c r="N33" s="9">
        <f>SUM(K33,M33)</f>
        <v>4177</v>
      </c>
      <c r="O33" s="32"/>
    </row>
    <row r="34" spans="1:15" s="30" customFormat="1" ht="21.75" customHeight="1" collapsed="1" x14ac:dyDescent="0.2">
      <c r="A34" s="27"/>
      <c r="B34" s="49" t="s">
        <v>64</v>
      </c>
      <c r="C34" s="28" t="s">
        <v>4</v>
      </c>
      <c r="D34" s="28" t="s">
        <v>3</v>
      </c>
      <c r="E34" s="28" t="s">
        <v>3</v>
      </c>
      <c r="F34" s="29">
        <f>SUM(F35,F39,F43)</f>
        <v>415648</v>
      </c>
      <c r="G34" s="29">
        <f t="shared" ref="G34:H34" si="25">SUM(G35,G39,G43)</f>
        <v>117.2</v>
      </c>
      <c r="H34" s="29">
        <f t="shared" si="25"/>
        <v>415765.2</v>
      </c>
      <c r="I34" s="29"/>
      <c r="J34" s="29">
        <f t="shared" ref="J34:K34" si="26">SUM(J35,J39,J43)</f>
        <v>15574.8</v>
      </c>
      <c r="K34" s="29">
        <f t="shared" si="26"/>
        <v>431340</v>
      </c>
      <c r="L34" s="42"/>
      <c r="M34" s="29">
        <f t="shared" ref="M34:N34" si="27">SUM(M35,M39,M43)</f>
        <v>2024.2</v>
      </c>
      <c r="N34" s="29">
        <f t="shared" si="27"/>
        <v>433364.2</v>
      </c>
      <c r="O34" s="42"/>
    </row>
    <row r="35" spans="1:15" s="13" customFormat="1" ht="191.25" customHeight="1" x14ac:dyDescent="0.2">
      <c r="A35" s="10"/>
      <c r="B35" s="51" t="s">
        <v>65</v>
      </c>
      <c r="C35" s="11" t="s">
        <v>4</v>
      </c>
      <c r="D35" s="11" t="s">
        <v>12</v>
      </c>
      <c r="E35" s="11" t="s">
        <v>3</v>
      </c>
      <c r="F35" s="12">
        <f>SUM(F36:F38)</f>
        <v>8570.2000000000007</v>
      </c>
      <c r="G35" s="12">
        <f t="shared" ref="G35:H35" si="28">SUM(G36:G38)</f>
        <v>117.2</v>
      </c>
      <c r="H35" s="12">
        <f t="shared" si="28"/>
        <v>8687.4</v>
      </c>
      <c r="I35" s="34" t="s">
        <v>254</v>
      </c>
      <c r="J35" s="12">
        <f t="shared" ref="J35:K35" si="29">SUM(J36:J38)</f>
        <v>12326.8</v>
      </c>
      <c r="K35" s="12">
        <f t="shared" si="29"/>
        <v>21014.199999999997</v>
      </c>
      <c r="L35" s="34" t="s">
        <v>244</v>
      </c>
      <c r="M35" s="12">
        <f t="shared" ref="M35:N35" si="30">SUM(M36:M38)</f>
        <v>121.00000000000001</v>
      </c>
      <c r="N35" s="12">
        <f t="shared" si="30"/>
        <v>21135.199999999997</v>
      </c>
      <c r="O35" s="34" t="s">
        <v>308</v>
      </c>
    </row>
    <row r="36" spans="1:15" ht="68.25" hidden="1" customHeight="1" outlineLevel="1" x14ac:dyDescent="0.2">
      <c r="A36" s="23"/>
      <c r="B36" s="50" t="s">
        <v>66</v>
      </c>
      <c r="C36" s="25" t="s">
        <v>4</v>
      </c>
      <c r="D36" s="25" t="s">
        <v>12</v>
      </c>
      <c r="E36" s="25" t="s">
        <v>8</v>
      </c>
      <c r="F36" s="9">
        <v>500</v>
      </c>
      <c r="G36" s="9">
        <f>17.2+105.8</f>
        <v>123</v>
      </c>
      <c r="H36" s="9">
        <f>SUM(F36:G36)</f>
        <v>623</v>
      </c>
      <c r="I36" s="32" t="s">
        <v>255</v>
      </c>
      <c r="J36" s="9">
        <f>3+453.2</f>
        <v>456.2</v>
      </c>
      <c r="K36" s="9">
        <f t="shared" ref="K36:K38" si="31">SUM(H36,J36)</f>
        <v>1079.2</v>
      </c>
      <c r="L36" s="32" t="s">
        <v>203</v>
      </c>
      <c r="M36" s="9">
        <f>-10.8</f>
        <v>-10.8</v>
      </c>
      <c r="N36" s="9">
        <f t="shared" ref="N36:N38" si="32">SUM(K36,M36)</f>
        <v>1068.4000000000001</v>
      </c>
      <c r="O36" s="32" t="s">
        <v>279</v>
      </c>
    </row>
    <row r="37" spans="1:15" ht="125.25" hidden="1" customHeight="1" outlineLevel="1" x14ac:dyDescent="0.2">
      <c r="A37" s="23"/>
      <c r="B37" s="50" t="s">
        <v>67</v>
      </c>
      <c r="C37" s="25" t="s">
        <v>4</v>
      </c>
      <c r="D37" s="25" t="s">
        <v>12</v>
      </c>
      <c r="E37" s="25" t="s">
        <v>13</v>
      </c>
      <c r="F37" s="9">
        <v>5615</v>
      </c>
      <c r="G37" s="9">
        <f>100</f>
        <v>100</v>
      </c>
      <c r="H37" s="9">
        <f t="shared" ref="H37:H38" si="33">SUM(F37:G37)</f>
        <v>5715</v>
      </c>
      <c r="I37" s="32" t="s">
        <v>183</v>
      </c>
      <c r="J37" s="9"/>
      <c r="K37" s="9">
        <f t="shared" si="31"/>
        <v>5715</v>
      </c>
      <c r="L37" s="32"/>
      <c r="M37" s="9">
        <f>50+200-123.2+5</f>
        <v>131.80000000000001</v>
      </c>
      <c r="N37" s="9">
        <f t="shared" si="32"/>
        <v>5846.8</v>
      </c>
      <c r="O37" s="32" t="s">
        <v>290</v>
      </c>
    </row>
    <row r="38" spans="1:15" ht="9.75" hidden="1" customHeight="1" outlineLevel="1" x14ac:dyDescent="0.2">
      <c r="A38" s="23"/>
      <c r="B38" s="50" t="s">
        <v>269</v>
      </c>
      <c r="C38" s="25" t="s">
        <v>4</v>
      </c>
      <c r="D38" s="25" t="s">
        <v>12</v>
      </c>
      <c r="E38" s="25" t="s">
        <v>31</v>
      </c>
      <c r="F38" s="9">
        <v>2455.1999999999998</v>
      </c>
      <c r="G38" s="9">
        <v>-105.8</v>
      </c>
      <c r="H38" s="9">
        <f t="shared" si="33"/>
        <v>2349.3999999999996</v>
      </c>
      <c r="I38" s="32" t="s">
        <v>186</v>
      </c>
      <c r="J38" s="9">
        <f>12323.8-453.2</f>
        <v>11870.599999999999</v>
      </c>
      <c r="K38" s="9">
        <f t="shared" si="31"/>
        <v>14219.999999999998</v>
      </c>
      <c r="L38" s="32" t="s">
        <v>243</v>
      </c>
      <c r="M38" s="9"/>
      <c r="N38" s="9">
        <f t="shared" si="32"/>
        <v>14219.999999999998</v>
      </c>
      <c r="O38" s="32"/>
    </row>
    <row r="39" spans="1:15" s="13" customFormat="1" ht="210" customHeight="1" collapsed="1" x14ac:dyDescent="0.2">
      <c r="A39" s="10"/>
      <c r="B39" s="51" t="s">
        <v>68</v>
      </c>
      <c r="C39" s="11" t="s">
        <v>4</v>
      </c>
      <c r="D39" s="11" t="s">
        <v>10</v>
      </c>
      <c r="E39" s="11" t="s">
        <v>3</v>
      </c>
      <c r="F39" s="12">
        <f>SUM(F40:F42)</f>
        <v>5225</v>
      </c>
      <c r="G39" s="12">
        <f t="shared" ref="G39:H39" si="34">SUM(G40:G42)</f>
        <v>0</v>
      </c>
      <c r="H39" s="12">
        <f t="shared" si="34"/>
        <v>5225</v>
      </c>
      <c r="I39" s="12"/>
      <c r="J39" s="12">
        <f t="shared" ref="J39:K39" si="35">SUM(J40:J42)</f>
        <v>0</v>
      </c>
      <c r="K39" s="12">
        <f t="shared" si="35"/>
        <v>5225</v>
      </c>
      <c r="L39" s="34"/>
      <c r="M39" s="12">
        <f t="shared" ref="M39:N39" si="36">SUM(M40:M42)</f>
        <v>1780</v>
      </c>
      <c r="N39" s="12">
        <f t="shared" si="36"/>
        <v>7005</v>
      </c>
      <c r="O39" s="34" t="s">
        <v>309</v>
      </c>
    </row>
    <row r="40" spans="1:15" ht="24" hidden="1" customHeight="1" outlineLevel="1" x14ac:dyDescent="0.2">
      <c r="A40" s="23"/>
      <c r="B40" s="50" t="s">
        <v>69</v>
      </c>
      <c r="C40" s="25" t="s">
        <v>4</v>
      </c>
      <c r="D40" s="25" t="s">
        <v>10</v>
      </c>
      <c r="E40" s="25" t="s">
        <v>8</v>
      </c>
      <c r="F40" s="9">
        <v>250</v>
      </c>
      <c r="G40" s="9"/>
      <c r="H40" s="9">
        <f>SUM(F40:G40)</f>
        <v>250</v>
      </c>
      <c r="I40" s="9"/>
      <c r="J40" s="9"/>
      <c r="K40" s="9">
        <f t="shared" ref="K40:K42" si="37">SUM(H40,J40)</f>
        <v>250</v>
      </c>
      <c r="L40" s="32"/>
      <c r="M40" s="9"/>
      <c r="N40" s="9">
        <f t="shared" ref="N40:N42" si="38">SUM(K40,M40)</f>
        <v>250</v>
      </c>
      <c r="O40" s="32"/>
    </row>
    <row r="41" spans="1:15" ht="189.75" hidden="1" customHeight="1" outlineLevel="1" x14ac:dyDescent="0.2">
      <c r="A41" s="23"/>
      <c r="B41" s="50" t="s">
        <v>70</v>
      </c>
      <c r="C41" s="25" t="s">
        <v>4</v>
      </c>
      <c r="D41" s="25" t="s">
        <v>10</v>
      </c>
      <c r="E41" s="25" t="s">
        <v>13</v>
      </c>
      <c r="F41" s="9">
        <v>4635</v>
      </c>
      <c r="G41" s="9"/>
      <c r="H41" s="9">
        <f t="shared" ref="H41:H42" si="39">SUM(F41:G41)</f>
        <v>4635</v>
      </c>
      <c r="I41" s="9"/>
      <c r="J41" s="9"/>
      <c r="K41" s="9">
        <f t="shared" si="37"/>
        <v>4635</v>
      </c>
      <c r="L41" s="32"/>
      <c r="M41" s="9">
        <f>435+1050+500-200-5</f>
        <v>1780</v>
      </c>
      <c r="N41" s="9">
        <f t="shared" si="38"/>
        <v>6415</v>
      </c>
      <c r="O41" s="32" t="s">
        <v>289</v>
      </c>
    </row>
    <row r="42" spans="1:15" ht="10.5" hidden="1" customHeight="1" outlineLevel="1" x14ac:dyDescent="0.2">
      <c r="A42" s="23"/>
      <c r="B42" s="50" t="s">
        <v>71</v>
      </c>
      <c r="C42" s="25" t="s">
        <v>4</v>
      </c>
      <c r="D42" s="25" t="s">
        <v>10</v>
      </c>
      <c r="E42" s="25" t="s">
        <v>6</v>
      </c>
      <c r="F42" s="9">
        <v>340</v>
      </c>
      <c r="G42" s="9"/>
      <c r="H42" s="9">
        <f t="shared" si="39"/>
        <v>340</v>
      </c>
      <c r="I42" s="9"/>
      <c r="J42" s="9"/>
      <c r="K42" s="9">
        <f t="shared" si="37"/>
        <v>340</v>
      </c>
      <c r="L42" s="32"/>
      <c r="M42" s="9"/>
      <c r="N42" s="9">
        <f t="shared" si="38"/>
        <v>340</v>
      </c>
      <c r="O42" s="32"/>
    </row>
    <row r="43" spans="1:15" s="13" customFormat="1" ht="56.25" customHeight="1" collapsed="1" x14ac:dyDescent="0.2">
      <c r="A43" s="10"/>
      <c r="B43" s="51" t="s">
        <v>72</v>
      </c>
      <c r="C43" s="11" t="s">
        <v>4</v>
      </c>
      <c r="D43" s="11" t="s">
        <v>14</v>
      </c>
      <c r="E43" s="11" t="s">
        <v>3</v>
      </c>
      <c r="F43" s="12">
        <f>SUM(F44)</f>
        <v>401852.8</v>
      </c>
      <c r="G43" s="12">
        <f t="shared" ref="G43:N43" si="40">SUM(G44)</f>
        <v>0</v>
      </c>
      <c r="H43" s="12">
        <f t="shared" si="40"/>
        <v>401852.8</v>
      </c>
      <c r="I43" s="34"/>
      <c r="J43" s="12">
        <f t="shared" si="40"/>
        <v>3248</v>
      </c>
      <c r="K43" s="12">
        <f t="shared" si="40"/>
        <v>405100.79999999999</v>
      </c>
      <c r="L43" s="34" t="s">
        <v>228</v>
      </c>
      <c r="M43" s="12">
        <f t="shared" si="40"/>
        <v>123.2</v>
      </c>
      <c r="N43" s="12">
        <f t="shared" si="40"/>
        <v>405224</v>
      </c>
      <c r="O43" s="34" t="s">
        <v>307</v>
      </c>
    </row>
    <row r="44" spans="1:15" ht="69" hidden="1" customHeight="1" outlineLevel="1" x14ac:dyDescent="0.2">
      <c r="A44" s="23"/>
      <c r="B44" s="50" t="s">
        <v>73</v>
      </c>
      <c r="C44" s="25" t="s">
        <v>4</v>
      </c>
      <c r="D44" s="25" t="s">
        <v>14</v>
      </c>
      <c r="E44" s="25" t="s">
        <v>8</v>
      </c>
      <c r="F44" s="9">
        <v>401852.8</v>
      </c>
      <c r="G44" s="9"/>
      <c r="H44" s="9">
        <f>SUM(F44:G44)</f>
        <v>401852.8</v>
      </c>
      <c r="I44" s="32"/>
      <c r="J44" s="9">
        <f>-3+3251</f>
        <v>3248</v>
      </c>
      <c r="K44" s="9">
        <f>SUM(H44,J44)</f>
        <v>405100.79999999999</v>
      </c>
      <c r="L44" s="32" t="s">
        <v>211</v>
      </c>
      <c r="M44" s="9">
        <v>123.2</v>
      </c>
      <c r="N44" s="9">
        <f>SUM(K44,M44)</f>
        <v>405224</v>
      </c>
      <c r="O44" s="32" t="s">
        <v>291</v>
      </c>
    </row>
    <row r="45" spans="1:15" s="30" customFormat="1" ht="31.5" customHeight="1" collapsed="1" x14ac:dyDescent="0.2">
      <c r="A45" s="27"/>
      <c r="B45" s="49" t="s">
        <v>74</v>
      </c>
      <c r="C45" s="28" t="s">
        <v>0</v>
      </c>
      <c r="D45" s="28" t="s">
        <v>3</v>
      </c>
      <c r="E45" s="28" t="s">
        <v>3</v>
      </c>
      <c r="F45" s="29">
        <f>SUM(F46)</f>
        <v>400</v>
      </c>
      <c r="G45" s="29">
        <f t="shared" ref="G45:N45" si="41">SUM(G46)</f>
        <v>0</v>
      </c>
      <c r="H45" s="29">
        <f t="shared" si="41"/>
        <v>400</v>
      </c>
      <c r="I45" s="29"/>
      <c r="J45" s="29">
        <f t="shared" si="41"/>
        <v>60</v>
      </c>
      <c r="K45" s="29">
        <f t="shared" si="41"/>
        <v>460</v>
      </c>
      <c r="L45" s="38" t="s">
        <v>219</v>
      </c>
      <c r="M45" s="29">
        <f t="shared" si="41"/>
        <v>0</v>
      </c>
      <c r="N45" s="29">
        <f t="shared" si="41"/>
        <v>460</v>
      </c>
      <c r="O45" s="38"/>
    </row>
    <row r="46" spans="1:15" ht="21.75" hidden="1" customHeight="1" outlineLevel="1" x14ac:dyDescent="0.2">
      <c r="A46" s="23"/>
      <c r="B46" s="50" t="s">
        <v>75</v>
      </c>
      <c r="C46" s="25" t="s">
        <v>0</v>
      </c>
      <c r="D46" s="25" t="s">
        <v>1</v>
      </c>
      <c r="E46" s="25" t="s">
        <v>8</v>
      </c>
      <c r="F46" s="9">
        <v>400</v>
      </c>
      <c r="G46" s="9"/>
      <c r="H46" s="9">
        <f>SUM(F46:G46)</f>
        <v>400</v>
      </c>
      <c r="I46" s="9"/>
      <c r="J46" s="9">
        <v>60</v>
      </c>
      <c r="K46" s="9">
        <f>SUM(H46,J46)</f>
        <v>460</v>
      </c>
      <c r="L46" s="32" t="s">
        <v>219</v>
      </c>
      <c r="M46" s="9"/>
      <c r="N46" s="9">
        <f>SUM(K46,M46)</f>
        <v>460</v>
      </c>
      <c r="O46" s="32"/>
    </row>
    <row r="47" spans="1:15" s="30" customFormat="1" ht="21.75" customHeight="1" collapsed="1" x14ac:dyDescent="0.2">
      <c r="A47" s="27"/>
      <c r="B47" s="49" t="s">
        <v>76</v>
      </c>
      <c r="C47" s="28" t="s">
        <v>30</v>
      </c>
      <c r="D47" s="28" t="s">
        <v>3</v>
      </c>
      <c r="E47" s="28" t="s">
        <v>3</v>
      </c>
      <c r="F47" s="29">
        <f>SUM(F48:F49)</f>
        <v>17769.099999999999</v>
      </c>
      <c r="G47" s="29">
        <f t="shared" ref="G47:H47" si="42">SUM(G48:G49)</f>
        <v>0</v>
      </c>
      <c r="H47" s="29">
        <f t="shared" si="42"/>
        <v>17769.099999999999</v>
      </c>
      <c r="I47" s="29"/>
      <c r="J47" s="29">
        <f t="shared" ref="J47:K47" si="43">SUM(J48:J49)</f>
        <v>0</v>
      </c>
      <c r="K47" s="29">
        <f t="shared" si="43"/>
        <v>17769.099999999999</v>
      </c>
      <c r="L47" s="42"/>
      <c r="M47" s="29">
        <f t="shared" ref="M47:N47" si="44">SUM(M48:M49)</f>
        <v>0</v>
      </c>
      <c r="N47" s="29">
        <f t="shared" si="44"/>
        <v>17769.099999999999</v>
      </c>
      <c r="O47" s="42"/>
    </row>
    <row r="48" spans="1:15" ht="32.25" hidden="1" customHeight="1" outlineLevel="1" x14ac:dyDescent="0.2">
      <c r="A48" s="23"/>
      <c r="B48" s="50" t="s">
        <v>77</v>
      </c>
      <c r="C48" s="25" t="s">
        <v>30</v>
      </c>
      <c r="D48" s="25" t="s">
        <v>1</v>
      </c>
      <c r="E48" s="25" t="s">
        <v>8</v>
      </c>
      <c r="F48" s="9">
        <v>17751.099999999999</v>
      </c>
      <c r="G48" s="9"/>
      <c r="H48" s="9">
        <f>SUM(F48:G48)</f>
        <v>17751.099999999999</v>
      </c>
      <c r="I48" s="9"/>
      <c r="J48" s="9"/>
      <c r="K48" s="9">
        <f t="shared" ref="K48:K49" si="45">SUM(H48,J48)</f>
        <v>17751.099999999999</v>
      </c>
      <c r="L48" s="32"/>
      <c r="M48" s="9"/>
      <c r="N48" s="9">
        <f t="shared" ref="N48:N49" si="46">SUM(K48,M48)</f>
        <v>17751.099999999999</v>
      </c>
      <c r="O48" s="32"/>
    </row>
    <row r="49" spans="1:15" ht="12.75" hidden="1" customHeight="1" outlineLevel="1" x14ac:dyDescent="0.2">
      <c r="A49" s="23"/>
      <c r="B49" s="54" t="s">
        <v>179</v>
      </c>
      <c r="C49" s="25" t="s">
        <v>30</v>
      </c>
      <c r="D49" s="25" t="s">
        <v>1</v>
      </c>
      <c r="E49" s="25" t="s">
        <v>7</v>
      </c>
      <c r="F49" s="9">
        <v>18</v>
      </c>
      <c r="G49" s="9"/>
      <c r="H49" s="9">
        <f>SUM(F49:G49)</f>
        <v>18</v>
      </c>
      <c r="I49" s="9"/>
      <c r="J49" s="9"/>
      <c r="K49" s="9">
        <f t="shared" si="45"/>
        <v>18</v>
      </c>
      <c r="L49" s="32"/>
      <c r="M49" s="9"/>
      <c r="N49" s="9">
        <f t="shared" si="46"/>
        <v>18</v>
      </c>
      <c r="O49" s="32"/>
    </row>
    <row r="50" spans="1:15" s="30" customFormat="1" ht="21.75" customHeight="1" collapsed="1" x14ac:dyDescent="0.2">
      <c r="A50" s="27"/>
      <c r="B50" s="49" t="s">
        <v>78</v>
      </c>
      <c r="C50" s="28" t="s">
        <v>29</v>
      </c>
      <c r="D50" s="28" t="s">
        <v>3</v>
      </c>
      <c r="E50" s="28" t="s">
        <v>3</v>
      </c>
      <c r="F50" s="29">
        <f>SUM(F51,F56)</f>
        <v>172379.80000000002</v>
      </c>
      <c r="G50" s="29">
        <f t="shared" ref="G50:H50" si="47">SUM(G51,G56)</f>
        <v>8552.1</v>
      </c>
      <c r="H50" s="29">
        <f t="shared" si="47"/>
        <v>179946.6</v>
      </c>
      <c r="I50" s="29"/>
      <c r="J50" s="29">
        <f t="shared" ref="J50:K50" si="48">SUM(J51,J56)</f>
        <v>145354.9</v>
      </c>
      <c r="K50" s="29">
        <f t="shared" si="48"/>
        <v>325301.5</v>
      </c>
      <c r="L50" s="42"/>
      <c r="M50" s="29">
        <f t="shared" ref="M50:N50" si="49">SUM(M51,M56)</f>
        <v>551.20000000000005</v>
      </c>
      <c r="N50" s="29">
        <f t="shared" si="49"/>
        <v>325852.69999999995</v>
      </c>
      <c r="O50" s="42"/>
    </row>
    <row r="51" spans="1:15" s="13" customFormat="1" ht="148.5" customHeight="1" x14ac:dyDescent="0.2">
      <c r="A51" s="10"/>
      <c r="B51" s="51" t="s">
        <v>79</v>
      </c>
      <c r="C51" s="11" t="s">
        <v>29</v>
      </c>
      <c r="D51" s="11" t="s">
        <v>12</v>
      </c>
      <c r="E51" s="11" t="s">
        <v>3</v>
      </c>
      <c r="F51" s="12">
        <f>SUM(F52:F55)</f>
        <v>166748.70000000001</v>
      </c>
      <c r="G51" s="12">
        <f>SUM(G52:G55)</f>
        <v>7566.8</v>
      </c>
      <c r="H51" s="12">
        <f>SUM(H52:H55)</f>
        <v>174315.5</v>
      </c>
      <c r="I51" s="34" t="s">
        <v>190</v>
      </c>
      <c r="J51" s="12">
        <f>SUM(J52:J55)</f>
        <v>-7566.8</v>
      </c>
      <c r="K51" s="12">
        <f>SUM(K52:K55)</f>
        <v>166748.70000000001</v>
      </c>
      <c r="L51" s="34" t="s">
        <v>246</v>
      </c>
      <c r="M51" s="12">
        <f>SUM(M52:M55)</f>
        <v>0</v>
      </c>
      <c r="N51" s="12">
        <f>SUM(N52:N55)</f>
        <v>166748.70000000001</v>
      </c>
      <c r="O51" s="34"/>
    </row>
    <row r="52" spans="1:15" ht="115.5" hidden="1" customHeight="1" outlineLevel="1" x14ac:dyDescent="0.2">
      <c r="A52" s="23"/>
      <c r="B52" s="50" t="s">
        <v>189</v>
      </c>
      <c r="C52" s="25" t="s">
        <v>29</v>
      </c>
      <c r="D52" s="25" t="s">
        <v>12</v>
      </c>
      <c r="E52" s="37" t="s">
        <v>8</v>
      </c>
      <c r="F52" s="9">
        <v>0</v>
      </c>
      <c r="G52" s="9">
        <v>7566.8</v>
      </c>
      <c r="H52" s="9">
        <f>SUM(F52:G52)</f>
        <v>7566.8</v>
      </c>
      <c r="I52" s="32" t="s">
        <v>190</v>
      </c>
      <c r="J52" s="9">
        <v>-7566.8</v>
      </c>
      <c r="K52" s="9">
        <f t="shared" ref="K52:K55" si="50">SUM(H52,J52)</f>
        <v>0</v>
      </c>
      <c r="L52" s="32"/>
      <c r="M52" s="9"/>
      <c r="N52" s="9">
        <f t="shared" ref="N52:N55" si="51">SUM(K52,M52)</f>
        <v>0</v>
      </c>
      <c r="O52" s="32"/>
    </row>
    <row r="53" spans="1:15" ht="21.75" hidden="1" customHeight="1" outlineLevel="1" x14ac:dyDescent="0.2">
      <c r="A53" s="23"/>
      <c r="B53" s="50" t="s">
        <v>80</v>
      </c>
      <c r="C53" s="25" t="s">
        <v>29</v>
      </c>
      <c r="D53" s="25" t="s">
        <v>12</v>
      </c>
      <c r="E53" s="25" t="s">
        <v>13</v>
      </c>
      <c r="F53" s="9">
        <v>115.6</v>
      </c>
      <c r="G53" s="9"/>
      <c r="H53" s="9">
        <f>SUM(F53:G53)</f>
        <v>115.6</v>
      </c>
      <c r="I53" s="9"/>
      <c r="J53" s="9"/>
      <c r="K53" s="9">
        <f t="shared" si="50"/>
        <v>115.6</v>
      </c>
      <c r="L53" s="32"/>
      <c r="M53" s="9"/>
      <c r="N53" s="9">
        <f t="shared" si="51"/>
        <v>115.6</v>
      </c>
      <c r="O53" s="32"/>
    </row>
    <row r="54" spans="1:15" ht="21.75" hidden="1" customHeight="1" outlineLevel="1" x14ac:dyDescent="0.2">
      <c r="A54" s="23"/>
      <c r="B54" s="50" t="s">
        <v>256</v>
      </c>
      <c r="C54" s="25" t="s">
        <v>29</v>
      </c>
      <c r="D54" s="25" t="s">
        <v>12</v>
      </c>
      <c r="E54" s="25" t="s">
        <v>6</v>
      </c>
      <c r="F54" s="9">
        <v>4500</v>
      </c>
      <c r="G54" s="9"/>
      <c r="H54" s="9">
        <f t="shared" ref="H54:H55" si="52">SUM(F54:G54)</f>
        <v>4500</v>
      </c>
      <c r="I54" s="9"/>
      <c r="J54" s="9"/>
      <c r="K54" s="9">
        <f t="shared" si="50"/>
        <v>4500</v>
      </c>
      <c r="L54" s="32"/>
      <c r="M54" s="9"/>
      <c r="N54" s="9">
        <f t="shared" si="51"/>
        <v>4500</v>
      </c>
      <c r="O54" s="32"/>
    </row>
    <row r="55" spans="1:15" ht="21.75" hidden="1" customHeight="1" outlineLevel="1" x14ac:dyDescent="0.2">
      <c r="A55" s="23"/>
      <c r="B55" s="50" t="s">
        <v>81</v>
      </c>
      <c r="C55" s="25" t="s">
        <v>29</v>
      </c>
      <c r="D55" s="25" t="s">
        <v>12</v>
      </c>
      <c r="E55" s="25" t="s">
        <v>5</v>
      </c>
      <c r="F55" s="9">
        <v>162133.1</v>
      </c>
      <c r="G55" s="9"/>
      <c r="H55" s="9">
        <f t="shared" si="52"/>
        <v>162133.1</v>
      </c>
      <c r="I55" s="9"/>
      <c r="J55" s="9"/>
      <c r="K55" s="9">
        <f t="shared" si="50"/>
        <v>162133.1</v>
      </c>
      <c r="L55" s="32"/>
      <c r="M55" s="9"/>
      <c r="N55" s="9">
        <f t="shared" si="51"/>
        <v>162133.1</v>
      </c>
      <c r="O55" s="32"/>
    </row>
    <row r="56" spans="1:15" s="13" customFormat="1" ht="99" customHeight="1" collapsed="1" x14ac:dyDescent="0.2">
      <c r="A56" s="10"/>
      <c r="B56" s="51" t="s">
        <v>82</v>
      </c>
      <c r="C56" s="11" t="s">
        <v>29</v>
      </c>
      <c r="D56" s="11" t="s">
        <v>10</v>
      </c>
      <c r="E56" s="11" t="s">
        <v>3</v>
      </c>
      <c r="F56" s="12">
        <f>SUM(F57:G59)</f>
        <v>5631.1</v>
      </c>
      <c r="G56" s="12">
        <f t="shared" ref="G56" si="53">SUM(G57:G58)</f>
        <v>985.3</v>
      </c>
      <c r="H56" s="12">
        <f>SUM(H57:I59)</f>
        <v>5631.1</v>
      </c>
      <c r="I56" s="35" t="s">
        <v>193</v>
      </c>
      <c r="J56" s="12">
        <f>SUM(J57:J59)</f>
        <v>152921.69999999998</v>
      </c>
      <c r="K56" s="12">
        <f>SUM(K57:K59)</f>
        <v>158552.79999999999</v>
      </c>
      <c r="L56" s="56" t="s">
        <v>248</v>
      </c>
      <c r="M56" s="12">
        <f>SUM(M57:M59)</f>
        <v>551.20000000000005</v>
      </c>
      <c r="N56" s="12">
        <f>SUM(N57:N59)</f>
        <v>159103.99999999997</v>
      </c>
      <c r="O56" s="60" t="s">
        <v>311</v>
      </c>
    </row>
    <row r="57" spans="1:15" ht="92.25" hidden="1" customHeight="1" outlineLevel="1" x14ac:dyDescent="0.2">
      <c r="A57" s="23"/>
      <c r="B57" s="50" t="s">
        <v>257</v>
      </c>
      <c r="C57" s="25" t="s">
        <v>29</v>
      </c>
      <c r="D57" s="25" t="s">
        <v>10</v>
      </c>
      <c r="E57" s="25" t="s">
        <v>8</v>
      </c>
      <c r="F57" s="9">
        <v>3000</v>
      </c>
      <c r="G57" s="9"/>
      <c r="H57" s="9">
        <f>SUM(F57:G57)</f>
        <v>3000</v>
      </c>
      <c r="I57" s="9"/>
      <c r="J57" s="9">
        <f>200</f>
        <v>200</v>
      </c>
      <c r="K57" s="9">
        <f t="shared" ref="K57:K59" si="54">SUM(H57,J57)</f>
        <v>3200</v>
      </c>
      <c r="L57" s="32"/>
      <c r="M57" s="9">
        <f>50+501.2</f>
        <v>551.20000000000005</v>
      </c>
      <c r="N57" s="9">
        <f t="shared" ref="N57:N59" si="55">SUM(K57,M57)</f>
        <v>3751.2</v>
      </c>
      <c r="O57" s="32" t="s">
        <v>283</v>
      </c>
    </row>
    <row r="58" spans="1:15" ht="102.75" hidden="1" customHeight="1" outlineLevel="1" x14ac:dyDescent="0.2">
      <c r="A58" s="23"/>
      <c r="B58" s="50" t="s">
        <v>258</v>
      </c>
      <c r="C58" s="25" t="s">
        <v>29</v>
      </c>
      <c r="D58" s="25" t="s">
        <v>10</v>
      </c>
      <c r="E58" s="25" t="s">
        <v>13</v>
      </c>
      <c r="F58" s="9">
        <v>1645.8</v>
      </c>
      <c r="G58" s="9">
        <f>321.4+663.9</f>
        <v>985.3</v>
      </c>
      <c r="H58" s="9">
        <f>SUM(F58:G58)</f>
        <v>2631.1</v>
      </c>
      <c r="I58" s="33" t="s">
        <v>187</v>
      </c>
      <c r="J58" s="9"/>
      <c r="K58" s="9">
        <f t="shared" si="54"/>
        <v>2631.1</v>
      </c>
      <c r="L58" s="33"/>
      <c r="M58" s="9"/>
      <c r="N58" s="9">
        <f t="shared" si="55"/>
        <v>2631.1</v>
      </c>
      <c r="O58" s="33"/>
    </row>
    <row r="59" spans="1:15" ht="165.75" hidden="1" outlineLevel="1" x14ac:dyDescent="0.2">
      <c r="A59" s="23"/>
      <c r="B59" s="50" t="s">
        <v>245</v>
      </c>
      <c r="C59" s="25" t="s">
        <v>29</v>
      </c>
      <c r="D59" s="25" t="s">
        <v>10</v>
      </c>
      <c r="E59" s="37" t="s">
        <v>6</v>
      </c>
      <c r="F59" s="9">
        <v>0</v>
      </c>
      <c r="G59" s="9"/>
      <c r="H59" s="9">
        <f>SUM(F59:G59)</f>
        <v>0</v>
      </c>
      <c r="I59" s="33"/>
      <c r="J59" s="9">
        <f>1386.6+143768.3+7566.8</f>
        <v>152721.69999999998</v>
      </c>
      <c r="K59" s="9">
        <f t="shared" si="54"/>
        <v>152721.69999999998</v>
      </c>
      <c r="L59" s="33" t="s">
        <v>247</v>
      </c>
      <c r="M59" s="9"/>
      <c r="N59" s="9">
        <f t="shared" si="55"/>
        <v>152721.69999999998</v>
      </c>
      <c r="O59" s="33"/>
    </row>
    <row r="60" spans="1:15" s="30" customFormat="1" ht="58.5" customHeight="1" collapsed="1" x14ac:dyDescent="0.2">
      <c r="A60" s="27"/>
      <c r="B60" s="53" t="s">
        <v>83</v>
      </c>
      <c r="C60" s="28" t="s">
        <v>28</v>
      </c>
      <c r="D60" s="28" t="s">
        <v>3</v>
      </c>
      <c r="E60" s="28" t="s">
        <v>3</v>
      </c>
      <c r="F60" s="29">
        <f>SUM(F61:F63)</f>
        <v>61265.1</v>
      </c>
      <c r="G60" s="29">
        <f t="shared" ref="G60:H60" si="56">SUM(G61:G63)</f>
        <v>0</v>
      </c>
      <c r="H60" s="29">
        <f t="shared" si="56"/>
        <v>61265.1</v>
      </c>
      <c r="I60" s="29"/>
      <c r="J60" s="29">
        <f t="shared" ref="J60:K60" si="57">SUM(J61:J63)</f>
        <v>370</v>
      </c>
      <c r="K60" s="29">
        <f t="shared" si="57"/>
        <v>61635.1</v>
      </c>
      <c r="L60" s="38" t="s">
        <v>232</v>
      </c>
      <c r="M60" s="29">
        <f t="shared" ref="M60:N60" si="58">SUM(M61:M63)</f>
        <v>-2.8</v>
      </c>
      <c r="N60" s="29">
        <f t="shared" si="58"/>
        <v>61632.3</v>
      </c>
      <c r="O60" s="38" t="s">
        <v>292</v>
      </c>
    </row>
    <row r="61" spans="1:15" ht="21.75" hidden="1" customHeight="1" outlineLevel="1" x14ac:dyDescent="0.2">
      <c r="A61" s="23"/>
      <c r="B61" s="50" t="s">
        <v>84</v>
      </c>
      <c r="C61" s="25" t="s">
        <v>28</v>
      </c>
      <c r="D61" s="25" t="s">
        <v>1</v>
      </c>
      <c r="E61" s="25" t="s">
        <v>8</v>
      </c>
      <c r="F61" s="9">
        <v>44569.5</v>
      </c>
      <c r="G61" s="9"/>
      <c r="H61" s="9">
        <f>SUM(F61:G61)</f>
        <v>44569.5</v>
      </c>
      <c r="I61" s="9"/>
      <c r="J61" s="9"/>
      <c r="K61" s="9">
        <f t="shared" ref="K61:K63" si="59">SUM(H61,J61)</f>
        <v>44569.5</v>
      </c>
      <c r="L61" s="32"/>
      <c r="M61" s="9"/>
      <c r="N61" s="9">
        <f t="shared" ref="N61:N63" si="60">SUM(K61,M61)</f>
        <v>44569.5</v>
      </c>
      <c r="O61" s="32"/>
    </row>
    <row r="62" spans="1:15" ht="46.5" hidden="1" customHeight="1" outlineLevel="1" x14ac:dyDescent="0.2">
      <c r="A62" s="23"/>
      <c r="B62" s="50" t="s">
        <v>85</v>
      </c>
      <c r="C62" s="25" t="s">
        <v>28</v>
      </c>
      <c r="D62" s="25" t="s">
        <v>1</v>
      </c>
      <c r="E62" s="25" t="s">
        <v>7</v>
      </c>
      <c r="F62" s="9">
        <v>8669.2000000000007</v>
      </c>
      <c r="G62" s="9"/>
      <c r="H62" s="9">
        <f t="shared" ref="H62:H63" si="61">SUM(F62:G62)</f>
        <v>8669.2000000000007</v>
      </c>
      <c r="I62" s="9"/>
      <c r="J62" s="9"/>
      <c r="K62" s="9">
        <f t="shared" si="59"/>
        <v>8669.2000000000007</v>
      </c>
      <c r="L62" s="32"/>
      <c r="M62" s="9">
        <v>-2.8</v>
      </c>
      <c r="N62" s="9">
        <f t="shared" si="60"/>
        <v>8666.4000000000015</v>
      </c>
      <c r="O62" s="32" t="s">
        <v>292</v>
      </c>
    </row>
    <row r="63" spans="1:15" ht="21.75" hidden="1" customHeight="1" outlineLevel="1" x14ac:dyDescent="0.2">
      <c r="A63" s="23"/>
      <c r="B63" s="50" t="s">
        <v>86</v>
      </c>
      <c r="C63" s="25" t="s">
        <v>28</v>
      </c>
      <c r="D63" s="25" t="s">
        <v>1</v>
      </c>
      <c r="E63" s="25" t="s">
        <v>13</v>
      </c>
      <c r="F63" s="9">
        <v>8026.4</v>
      </c>
      <c r="G63" s="9"/>
      <c r="H63" s="9">
        <f t="shared" si="61"/>
        <v>8026.4</v>
      </c>
      <c r="I63" s="9"/>
      <c r="J63" s="9">
        <v>370</v>
      </c>
      <c r="K63" s="9">
        <f t="shared" si="59"/>
        <v>8396.4</v>
      </c>
      <c r="L63" s="32" t="s">
        <v>205</v>
      </c>
      <c r="M63" s="9"/>
      <c r="N63" s="9">
        <f t="shared" si="60"/>
        <v>8396.4</v>
      </c>
      <c r="O63" s="32"/>
    </row>
    <row r="64" spans="1:15" s="30" customFormat="1" ht="21.75" customHeight="1" collapsed="1" x14ac:dyDescent="0.2">
      <c r="A64" s="27"/>
      <c r="B64" s="49" t="s">
        <v>87</v>
      </c>
      <c r="C64" s="28" t="s">
        <v>27</v>
      </c>
      <c r="D64" s="28" t="s">
        <v>3</v>
      </c>
      <c r="E64" s="28" t="s">
        <v>3</v>
      </c>
      <c r="F64" s="29">
        <f>SUM(F65,F67,F70,F74)</f>
        <v>154357.1</v>
      </c>
      <c r="G64" s="29">
        <f t="shared" ref="G64:H64" si="62">SUM(G65,G67,G70,G74)</f>
        <v>50689.2</v>
      </c>
      <c r="H64" s="29">
        <f t="shared" si="62"/>
        <v>580946.1</v>
      </c>
      <c r="I64" s="29"/>
      <c r="J64" s="29">
        <f t="shared" ref="J64:K64" si="63">SUM(J65,J67,J70,J74)</f>
        <v>896891.3</v>
      </c>
      <c r="K64" s="29">
        <f t="shared" si="63"/>
        <v>1086417.7999999998</v>
      </c>
      <c r="L64" s="42"/>
      <c r="M64" s="29">
        <f t="shared" ref="M64:N64" si="64">SUM(M65,M67,M70,M74)</f>
        <v>33493.899999999994</v>
      </c>
      <c r="N64" s="29">
        <f t="shared" si="64"/>
        <v>1119911.7</v>
      </c>
      <c r="O64" s="42"/>
    </row>
    <row r="65" spans="1:15" s="13" customFormat="1" ht="85.5" customHeight="1" x14ac:dyDescent="0.2">
      <c r="A65" s="10"/>
      <c r="B65" s="51" t="s">
        <v>88</v>
      </c>
      <c r="C65" s="11" t="s">
        <v>27</v>
      </c>
      <c r="D65" s="11" t="s">
        <v>12</v>
      </c>
      <c r="E65" s="11" t="s">
        <v>3</v>
      </c>
      <c r="F65" s="12">
        <f>SUM(F66)</f>
        <v>611.79999999999995</v>
      </c>
      <c r="G65" s="12">
        <f t="shared" ref="G65:N65" si="65">SUM(G66)</f>
        <v>0</v>
      </c>
      <c r="H65" s="12">
        <f t="shared" si="65"/>
        <v>611.79999999999995</v>
      </c>
      <c r="I65" s="12"/>
      <c r="J65" s="12">
        <f t="shared" si="65"/>
        <v>0</v>
      </c>
      <c r="K65" s="12">
        <f t="shared" si="65"/>
        <v>611.79999999999995</v>
      </c>
      <c r="L65" s="34"/>
      <c r="M65" s="12">
        <f t="shared" si="65"/>
        <v>357.20000000000005</v>
      </c>
      <c r="N65" s="12">
        <f t="shared" si="65"/>
        <v>969</v>
      </c>
      <c r="O65" s="34" t="s">
        <v>287</v>
      </c>
    </row>
    <row r="66" spans="1:15" ht="78.75" hidden="1" outlineLevel="1" x14ac:dyDescent="0.2">
      <c r="A66" s="23"/>
      <c r="B66" s="50" t="s">
        <v>89</v>
      </c>
      <c r="C66" s="25" t="s">
        <v>27</v>
      </c>
      <c r="D66" s="25" t="s">
        <v>12</v>
      </c>
      <c r="E66" s="25" t="s">
        <v>8</v>
      </c>
      <c r="F66" s="9">
        <v>611.79999999999995</v>
      </c>
      <c r="G66" s="9"/>
      <c r="H66" s="9">
        <f>SUM(F66:G66)</f>
        <v>611.79999999999995</v>
      </c>
      <c r="I66" s="9"/>
      <c r="J66" s="9"/>
      <c r="K66" s="9">
        <f>SUM(H66,J66)</f>
        <v>611.79999999999995</v>
      </c>
      <c r="L66" s="32"/>
      <c r="M66" s="9">
        <f>290.1+15.1+15.7+36.3</f>
        <v>357.20000000000005</v>
      </c>
      <c r="N66" s="9">
        <f>SUM(K66,M66)</f>
        <v>969</v>
      </c>
      <c r="O66" s="32" t="s">
        <v>287</v>
      </c>
    </row>
    <row r="67" spans="1:15" s="13" customFormat="1" ht="47.25" customHeight="1" collapsed="1" x14ac:dyDescent="0.2">
      <c r="A67" s="10"/>
      <c r="B67" s="51" t="s">
        <v>90</v>
      </c>
      <c r="C67" s="11" t="s">
        <v>27</v>
      </c>
      <c r="D67" s="11" t="s">
        <v>10</v>
      </c>
      <c r="E67" s="11" t="s">
        <v>3</v>
      </c>
      <c r="F67" s="12">
        <f>SUM(F68:F69)</f>
        <v>27262.899999999998</v>
      </c>
      <c r="G67" s="12">
        <f t="shared" ref="G67:H67" si="66">SUM(G68:G69)</f>
        <v>0</v>
      </c>
      <c r="H67" s="12">
        <f t="shared" si="66"/>
        <v>27262.899999999998</v>
      </c>
      <c r="I67" s="12"/>
      <c r="J67" s="12">
        <f t="shared" ref="J67:K67" si="67">SUM(J68:J69)</f>
        <v>15641.4</v>
      </c>
      <c r="K67" s="12">
        <f t="shared" si="67"/>
        <v>42904.299999999996</v>
      </c>
      <c r="L67" s="34" t="s">
        <v>240</v>
      </c>
      <c r="M67" s="12">
        <f t="shared" ref="M67:N67" si="68">SUM(M68:M69)</f>
        <v>33188.699999999997</v>
      </c>
      <c r="N67" s="12">
        <f t="shared" si="68"/>
        <v>76093</v>
      </c>
      <c r="O67" s="34" t="s">
        <v>268</v>
      </c>
    </row>
    <row r="68" spans="1:15" ht="48.75" hidden="1" customHeight="1" outlineLevel="1" x14ac:dyDescent="0.2">
      <c r="A68" s="23"/>
      <c r="B68" s="50" t="s">
        <v>91</v>
      </c>
      <c r="C68" s="25" t="s">
        <v>27</v>
      </c>
      <c r="D68" s="25" t="s">
        <v>10</v>
      </c>
      <c r="E68" s="25" t="s">
        <v>8</v>
      </c>
      <c r="F68" s="9">
        <v>27252.799999999999</v>
      </c>
      <c r="G68" s="9"/>
      <c r="H68" s="9">
        <f>SUM(F68:G68)</f>
        <v>27252.799999999999</v>
      </c>
      <c r="I68" s="9"/>
      <c r="J68" s="9">
        <v>15641.4</v>
      </c>
      <c r="K68" s="9">
        <f t="shared" ref="K68:K69" si="69">SUM(H68,J68)</f>
        <v>42894.2</v>
      </c>
      <c r="L68" s="32" t="s">
        <v>210</v>
      </c>
      <c r="M68" s="9">
        <f>33188.7</f>
        <v>33188.699999999997</v>
      </c>
      <c r="N68" s="9">
        <f t="shared" ref="N68:N69" si="70">SUM(K68,M68)</f>
        <v>76082.899999999994</v>
      </c>
      <c r="O68" s="32" t="s">
        <v>268</v>
      </c>
    </row>
    <row r="69" spans="1:15" ht="57" hidden="1" customHeight="1" outlineLevel="1" x14ac:dyDescent="0.2">
      <c r="A69" s="23"/>
      <c r="B69" s="50" t="s">
        <v>92</v>
      </c>
      <c r="C69" s="25" t="s">
        <v>27</v>
      </c>
      <c r="D69" s="25" t="s">
        <v>10</v>
      </c>
      <c r="E69" s="25" t="s">
        <v>7</v>
      </c>
      <c r="F69" s="9">
        <v>10.1</v>
      </c>
      <c r="G69" s="9"/>
      <c r="H69" s="9">
        <f>SUM(F69:G69)</f>
        <v>10.1</v>
      </c>
      <c r="I69" s="9"/>
      <c r="J69" s="9"/>
      <c r="K69" s="9">
        <f t="shared" si="69"/>
        <v>10.1</v>
      </c>
      <c r="L69" s="32"/>
      <c r="M69" s="9"/>
      <c r="N69" s="9">
        <f t="shared" si="70"/>
        <v>10.1</v>
      </c>
      <c r="O69" s="32"/>
    </row>
    <row r="70" spans="1:15" s="13" customFormat="1" ht="53.25" customHeight="1" collapsed="1" x14ac:dyDescent="0.2">
      <c r="A70" s="10"/>
      <c r="B70" s="51" t="s">
        <v>93</v>
      </c>
      <c r="C70" s="11" t="s">
        <v>27</v>
      </c>
      <c r="D70" s="11" t="s">
        <v>14</v>
      </c>
      <c r="E70" s="11" t="s">
        <v>3</v>
      </c>
      <c r="F70" s="12">
        <f>SUM(F71:G73)</f>
        <v>126482.40000000001</v>
      </c>
      <c r="G70" s="12">
        <f t="shared" ref="G70" si="71">SUM(G71:G72)</f>
        <v>15519.8</v>
      </c>
      <c r="H70" s="12">
        <f>SUM(H71:J73)</f>
        <v>517902</v>
      </c>
      <c r="I70" s="34" t="s">
        <v>197</v>
      </c>
      <c r="J70" s="12">
        <f t="shared" ref="J70" si="72">SUM(J71:J72)</f>
        <v>391419.6</v>
      </c>
      <c r="K70" s="12">
        <f>SUM(K71:K73)</f>
        <v>517902</v>
      </c>
      <c r="L70" s="34" t="s">
        <v>229</v>
      </c>
      <c r="M70" s="12">
        <f>SUM(M71:M73)</f>
        <v>-52</v>
      </c>
      <c r="N70" s="12">
        <f>SUM(N71:N73)</f>
        <v>517850</v>
      </c>
      <c r="O70" s="34" t="s">
        <v>302</v>
      </c>
    </row>
    <row r="71" spans="1:15" ht="112.5" hidden="1" customHeight="1" outlineLevel="1" x14ac:dyDescent="0.2">
      <c r="A71" s="23"/>
      <c r="B71" s="50" t="s">
        <v>94</v>
      </c>
      <c r="C71" s="25" t="s">
        <v>27</v>
      </c>
      <c r="D71" s="25" t="s">
        <v>14</v>
      </c>
      <c r="E71" s="25" t="s">
        <v>8</v>
      </c>
      <c r="F71" s="9">
        <v>102688.6</v>
      </c>
      <c r="G71" s="9">
        <f>5000+4991+2009.9+3509.9+9</f>
        <v>15519.8</v>
      </c>
      <c r="H71" s="9">
        <f>SUM(F71:G71)</f>
        <v>118208.40000000001</v>
      </c>
      <c r="I71" s="32" t="s">
        <v>196</v>
      </c>
      <c r="J71" s="9">
        <f>13773.1+26203.8+348136.1</f>
        <v>388113</v>
      </c>
      <c r="K71" s="9">
        <f t="shared" ref="K71:K72" si="73">SUM(H71,J71)</f>
        <v>506321.4</v>
      </c>
      <c r="L71" s="32" t="s">
        <v>220</v>
      </c>
      <c r="M71" s="9">
        <f>-15.7-26203.8-348136.1-36.3</f>
        <v>-374391.89999999997</v>
      </c>
      <c r="N71" s="9">
        <f t="shared" ref="N71:N73" si="74">SUM(K71,M71)</f>
        <v>131929.50000000006</v>
      </c>
      <c r="O71" s="32" t="s">
        <v>288</v>
      </c>
    </row>
    <row r="72" spans="1:15" ht="112.5" hidden="1" customHeight="1" outlineLevel="1" x14ac:dyDescent="0.2">
      <c r="A72" s="23"/>
      <c r="B72" s="50" t="s">
        <v>95</v>
      </c>
      <c r="C72" s="25" t="s">
        <v>27</v>
      </c>
      <c r="D72" s="25" t="s">
        <v>14</v>
      </c>
      <c r="E72" s="25" t="s">
        <v>7</v>
      </c>
      <c r="F72" s="9">
        <v>8274</v>
      </c>
      <c r="G72" s="9"/>
      <c r="H72" s="9">
        <f>SUM(F72:G72)</f>
        <v>8274</v>
      </c>
      <c r="I72" s="9"/>
      <c r="J72" s="9">
        <f>826.7+2479.9</f>
        <v>3306.6000000000004</v>
      </c>
      <c r="K72" s="9">
        <f t="shared" si="73"/>
        <v>11580.6</v>
      </c>
      <c r="L72" s="32" t="s">
        <v>221</v>
      </c>
      <c r="M72" s="9"/>
      <c r="N72" s="9">
        <f t="shared" si="74"/>
        <v>11580.6</v>
      </c>
      <c r="O72" s="32"/>
    </row>
    <row r="73" spans="1:15" ht="112.5" hidden="1" customHeight="1" outlineLevel="1" x14ac:dyDescent="0.2">
      <c r="A73" s="23"/>
      <c r="B73" s="50" t="s">
        <v>251</v>
      </c>
      <c r="C73" s="25">
        <v>11</v>
      </c>
      <c r="D73" s="25">
        <v>3</v>
      </c>
      <c r="E73" s="25" t="s">
        <v>252</v>
      </c>
      <c r="F73" s="9">
        <v>0</v>
      </c>
      <c r="G73" s="9"/>
      <c r="H73" s="9">
        <f>SUM(F73:G73)</f>
        <v>0</v>
      </c>
      <c r="I73" s="9"/>
      <c r="J73" s="9"/>
      <c r="K73" s="9"/>
      <c r="L73" s="32"/>
      <c r="M73" s="9">
        <f>26203.8+348136.1</f>
        <v>374339.89999999997</v>
      </c>
      <c r="N73" s="9">
        <f t="shared" si="74"/>
        <v>374339.89999999997</v>
      </c>
      <c r="O73" s="32" t="s">
        <v>253</v>
      </c>
    </row>
    <row r="74" spans="1:15" s="13" customFormat="1" ht="47.25" customHeight="1" collapsed="1" x14ac:dyDescent="0.2">
      <c r="A74" s="10"/>
      <c r="B74" s="51" t="s">
        <v>215</v>
      </c>
      <c r="C74" s="11" t="s">
        <v>27</v>
      </c>
      <c r="D74" s="11">
        <v>4</v>
      </c>
      <c r="E74" s="11" t="s">
        <v>3</v>
      </c>
      <c r="F74" s="12">
        <f>SUM(F75)</f>
        <v>0</v>
      </c>
      <c r="G74" s="12">
        <f t="shared" ref="G74:N74" si="75">SUM(G75)</f>
        <v>35169.4</v>
      </c>
      <c r="H74" s="12">
        <f t="shared" si="75"/>
        <v>35169.4</v>
      </c>
      <c r="I74" s="34" t="s">
        <v>185</v>
      </c>
      <c r="J74" s="12">
        <f t="shared" si="75"/>
        <v>489830.3</v>
      </c>
      <c r="K74" s="12">
        <f t="shared" si="75"/>
        <v>524999.69999999995</v>
      </c>
      <c r="L74" s="34" t="s">
        <v>241</v>
      </c>
      <c r="M74" s="12">
        <f t="shared" si="75"/>
        <v>0</v>
      </c>
      <c r="N74" s="12">
        <f t="shared" si="75"/>
        <v>524999.69999999995</v>
      </c>
      <c r="O74" s="34"/>
    </row>
    <row r="75" spans="1:15" ht="101.25" hidden="1" outlineLevel="1" x14ac:dyDescent="0.2">
      <c r="A75" s="23"/>
      <c r="B75" s="50" t="s">
        <v>216</v>
      </c>
      <c r="C75" s="25" t="s">
        <v>27</v>
      </c>
      <c r="D75" s="25">
        <v>4</v>
      </c>
      <c r="E75" s="25" t="s">
        <v>8</v>
      </c>
      <c r="F75" s="9">
        <v>0</v>
      </c>
      <c r="G75" s="9">
        <v>35169.4</v>
      </c>
      <c r="H75" s="9">
        <f>SUM(F75:G75)</f>
        <v>35169.4</v>
      </c>
      <c r="I75" s="32" t="s">
        <v>185</v>
      </c>
      <c r="J75" s="9">
        <f>22580.6+467249.7</f>
        <v>489830.3</v>
      </c>
      <c r="K75" s="9">
        <f>SUM(H75,J75)</f>
        <v>524999.69999999995</v>
      </c>
      <c r="L75" s="32" t="s">
        <v>227</v>
      </c>
      <c r="M75" s="9"/>
      <c r="N75" s="9">
        <f>SUM(K75,M75)</f>
        <v>524999.69999999995</v>
      </c>
      <c r="O75" s="32"/>
    </row>
    <row r="76" spans="1:15" s="30" customFormat="1" ht="21.75" customHeight="1" collapsed="1" x14ac:dyDescent="0.2">
      <c r="A76" s="27"/>
      <c r="B76" s="49" t="s">
        <v>96</v>
      </c>
      <c r="C76" s="28" t="s">
        <v>26</v>
      </c>
      <c r="D76" s="28" t="s">
        <v>3</v>
      </c>
      <c r="E76" s="28" t="s">
        <v>3</v>
      </c>
      <c r="F76" s="29">
        <f>SUM(F77:F79)</f>
        <v>33896.400000000001</v>
      </c>
      <c r="G76" s="29">
        <f t="shared" ref="G76:H76" si="76">SUM(G77:G79)</f>
        <v>0</v>
      </c>
      <c r="H76" s="29">
        <f t="shared" si="76"/>
        <v>33896.400000000001</v>
      </c>
      <c r="I76" s="29"/>
      <c r="J76" s="29">
        <f t="shared" ref="J76:K76" si="77">SUM(J77:J79)</f>
        <v>0</v>
      </c>
      <c r="K76" s="29">
        <f t="shared" si="77"/>
        <v>33896.400000000001</v>
      </c>
      <c r="L76" s="42"/>
      <c r="M76" s="29">
        <f t="shared" ref="M76:N76" si="78">SUM(M77:M79)</f>
        <v>0</v>
      </c>
      <c r="N76" s="29">
        <f t="shared" si="78"/>
        <v>33896.400000000001</v>
      </c>
      <c r="O76" s="42"/>
    </row>
    <row r="77" spans="1:15" ht="41.25" hidden="1" customHeight="1" outlineLevel="1" x14ac:dyDescent="0.2">
      <c r="A77" s="23"/>
      <c r="B77" s="50" t="s">
        <v>97</v>
      </c>
      <c r="C77" s="25" t="s">
        <v>26</v>
      </c>
      <c r="D77" s="25" t="s">
        <v>1</v>
      </c>
      <c r="E77" s="25" t="s">
        <v>8</v>
      </c>
      <c r="F77" s="9">
        <v>3000</v>
      </c>
      <c r="G77" s="9"/>
      <c r="H77" s="9">
        <f>SUM(F77:G77)</f>
        <v>3000</v>
      </c>
      <c r="I77" s="9"/>
      <c r="J77" s="9"/>
      <c r="K77" s="9">
        <f t="shared" ref="K77:K79" si="79">SUM(H77,J77)</f>
        <v>3000</v>
      </c>
      <c r="L77" s="32"/>
      <c r="M77" s="9">
        <v>-403.2</v>
      </c>
      <c r="N77" s="9">
        <f t="shared" ref="N77:N79" si="80">SUM(K77,M77)</f>
        <v>2596.8000000000002</v>
      </c>
      <c r="O77" s="32" t="s">
        <v>266</v>
      </c>
    </row>
    <row r="78" spans="1:15" ht="25.5" hidden="1" customHeight="1" outlineLevel="1" x14ac:dyDescent="0.2">
      <c r="A78" s="23"/>
      <c r="B78" s="50" t="s">
        <v>98</v>
      </c>
      <c r="C78" s="25" t="s">
        <v>26</v>
      </c>
      <c r="D78" s="25" t="s">
        <v>1</v>
      </c>
      <c r="E78" s="25" t="s">
        <v>7</v>
      </c>
      <c r="F78" s="9">
        <v>29896.400000000001</v>
      </c>
      <c r="G78" s="9"/>
      <c r="H78" s="9">
        <f t="shared" ref="H78:H79" si="81">SUM(F78:G78)</f>
        <v>29896.400000000001</v>
      </c>
      <c r="I78" s="9"/>
      <c r="J78" s="9"/>
      <c r="K78" s="9">
        <f t="shared" si="79"/>
        <v>29896.400000000001</v>
      </c>
      <c r="L78" s="32"/>
      <c r="M78" s="9"/>
      <c r="N78" s="9">
        <f t="shared" si="80"/>
        <v>29896.400000000001</v>
      </c>
      <c r="O78" s="32"/>
    </row>
    <row r="79" spans="1:15" ht="39" hidden="1" customHeight="1" outlineLevel="1" x14ac:dyDescent="0.2">
      <c r="A79" s="23"/>
      <c r="B79" s="50" t="s">
        <v>99</v>
      </c>
      <c r="C79" s="25" t="s">
        <v>26</v>
      </c>
      <c r="D79" s="25" t="s">
        <v>1</v>
      </c>
      <c r="E79" s="25" t="s">
        <v>13</v>
      </c>
      <c r="F79" s="9">
        <v>1000</v>
      </c>
      <c r="G79" s="9"/>
      <c r="H79" s="9">
        <f t="shared" si="81"/>
        <v>1000</v>
      </c>
      <c r="I79" s="9"/>
      <c r="J79" s="9"/>
      <c r="K79" s="9">
        <f t="shared" si="79"/>
        <v>1000</v>
      </c>
      <c r="L79" s="32"/>
      <c r="M79" s="9">
        <f>403.2</f>
        <v>403.2</v>
      </c>
      <c r="N79" s="9">
        <f t="shared" si="80"/>
        <v>1403.2</v>
      </c>
      <c r="O79" s="32" t="s">
        <v>267</v>
      </c>
    </row>
    <row r="80" spans="1:15" s="30" customFormat="1" ht="27.75" customHeight="1" collapsed="1" x14ac:dyDescent="0.2">
      <c r="A80" s="27"/>
      <c r="B80" s="49" t="s">
        <v>100</v>
      </c>
      <c r="C80" s="28" t="s">
        <v>25</v>
      </c>
      <c r="D80" s="28" t="s">
        <v>3</v>
      </c>
      <c r="E80" s="28" t="s">
        <v>3</v>
      </c>
      <c r="F80" s="29">
        <f>SUM(F81,F84,F86)</f>
        <v>153167.79999999999</v>
      </c>
      <c r="G80" s="29">
        <f>SUM(G81,G84,G86)</f>
        <v>61552.100000000006</v>
      </c>
      <c r="H80" s="29">
        <f>SUM(H81,H84,H86)</f>
        <v>214719.90000000002</v>
      </c>
      <c r="I80" s="29"/>
      <c r="J80" s="29">
        <f>SUM(J81,J84,J86)</f>
        <v>4213.8</v>
      </c>
      <c r="K80" s="29">
        <f>SUM(K81,K84,K86)</f>
        <v>218933.7</v>
      </c>
      <c r="L80" s="42"/>
      <c r="M80" s="29">
        <f>SUM(M81,M84,M86)</f>
        <v>980.19</v>
      </c>
      <c r="N80" s="29">
        <f>SUM(N81,N84,N86)</f>
        <v>219913.89</v>
      </c>
      <c r="O80" s="42"/>
    </row>
    <row r="81" spans="1:15" s="13" customFormat="1" ht="123.75" x14ac:dyDescent="0.2">
      <c r="A81" s="10"/>
      <c r="B81" s="51" t="s">
        <v>101</v>
      </c>
      <c r="C81" s="11" t="s">
        <v>25</v>
      </c>
      <c r="D81" s="11" t="s">
        <v>12</v>
      </c>
      <c r="E81" s="11" t="s">
        <v>3</v>
      </c>
      <c r="F81" s="12">
        <f>SUM(F82:F83)</f>
        <v>48469.8</v>
      </c>
      <c r="G81" s="12">
        <f>SUM(G82:G83)</f>
        <v>0</v>
      </c>
      <c r="H81" s="12">
        <f>SUM(H82:H83)</f>
        <v>48469.8</v>
      </c>
      <c r="I81" s="12"/>
      <c r="J81" s="12">
        <f>SUM(J82:J83)</f>
        <v>4313.3</v>
      </c>
      <c r="K81" s="12">
        <f>SUM(K82:K83)</f>
        <v>52783.100000000006</v>
      </c>
      <c r="L81" s="34" t="s">
        <v>218</v>
      </c>
      <c r="M81" s="12">
        <f>SUM(M82:M83)</f>
        <v>1079.69</v>
      </c>
      <c r="N81" s="12">
        <f>SUM(N82:N83)</f>
        <v>53862.790000000008</v>
      </c>
      <c r="O81" s="34" t="s">
        <v>303</v>
      </c>
    </row>
    <row r="82" spans="1:15" ht="96" hidden="1" customHeight="1" outlineLevel="1" x14ac:dyDescent="0.2">
      <c r="A82" s="23"/>
      <c r="B82" s="50" t="s">
        <v>102</v>
      </c>
      <c r="C82" s="25" t="s">
        <v>25</v>
      </c>
      <c r="D82" s="25" t="s">
        <v>12</v>
      </c>
      <c r="E82" s="25" t="s">
        <v>8</v>
      </c>
      <c r="F82" s="9">
        <v>40969.800000000003</v>
      </c>
      <c r="G82" s="9"/>
      <c r="H82" s="9">
        <f>SUM(F82:G82)</f>
        <v>40969.800000000003</v>
      </c>
      <c r="I82" s="9"/>
      <c r="J82" s="9">
        <f>99.5+4213.8</f>
        <v>4313.3</v>
      </c>
      <c r="K82" s="9">
        <f t="shared" ref="K82:K83" si="82">SUM(H82,J82)</f>
        <v>45283.100000000006</v>
      </c>
      <c r="L82" s="32" t="s">
        <v>217</v>
      </c>
      <c r="M82" s="9">
        <f>43+99.5</f>
        <v>142.5</v>
      </c>
      <c r="N82" s="9">
        <f t="shared" ref="N82:N83" si="83">SUM(K82,M82)</f>
        <v>45425.600000000006</v>
      </c>
      <c r="O82" s="32" t="s">
        <v>277</v>
      </c>
    </row>
    <row r="83" spans="1:15" ht="33.75" hidden="1" outlineLevel="1" x14ac:dyDescent="0.2">
      <c r="A83" s="23"/>
      <c r="B83" s="50" t="s">
        <v>103</v>
      </c>
      <c r="C83" s="25" t="s">
        <v>25</v>
      </c>
      <c r="D83" s="25" t="s">
        <v>12</v>
      </c>
      <c r="E83" s="25" t="s">
        <v>7</v>
      </c>
      <c r="F83" s="9">
        <v>7500</v>
      </c>
      <c r="G83" s="9"/>
      <c r="H83" s="9">
        <f>SUM(F83:G83)</f>
        <v>7500</v>
      </c>
      <c r="I83" s="9"/>
      <c r="J83" s="9"/>
      <c r="K83" s="9">
        <f t="shared" si="82"/>
        <v>7500</v>
      </c>
      <c r="L83" s="32"/>
      <c r="M83" s="9">
        <f>937.2-0.01</f>
        <v>937.19</v>
      </c>
      <c r="N83" s="9">
        <f t="shared" si="83"/>
        <v>8437.19</v>
      </c>
      <c r="O83" s="32" t="s">
        <v>276</v>
      </c>
    </row>
    <row r="84" spans="1:15" s="13" customFormat="1" ht="45" customHeight="1" collapsed="1" x14ac:dyDescent="0.2">
      <c r="A84" s="10"/>
      <c r="B84" s="51" t="s">
        <v>104</v>
      </c>
      <c r="C84" s="11" t="s">
        <v>25</v>
      </c>
      <c r="D84" s="11" t="s">
        <v>10</v>
      </c>
      <c r="E84" s="11" t="s">
        <v>3</v>
      </c>
      <c r="F84" s="12">
        <f>SUM(F85)</f>
        <v>103698</v>
      </c>
      <c r="G84" s="12">
        <f t="shared" ref="G84:N84" si="84">SUM(G85)</f>
        <v>61552.100000000006</v>
      </c>
      <c r="H84" s="12">
        <f t="shared" si="84"/>
        <v>165250.1</v>
      </c>
      <c r="I84" s="35" t="s">
        <v>199</v>
      </c>
      <c r="J84" s="12">
        <f t="shared" si="84"/>
        <v>0</v>
      </c>
      <c r="K84" s="12">
        <f t="shared" si="84"/>
        <v>165250.1</v>
      </c>
      <c r="L84" s="35"/>
      <c r="M84" s="12">
        <f t="shared" si="84"/>
        <v>0</v>
      </c>
      <c r="N84" s="12">
        <f t="shared" si="84"/>
        <v>165250.1</v>
      </c>
      <c r="O84" s="35"/>
    </row>
    <row r="85" spans="1:15" ht="45" hidden="1" customHeight="1" outlineLevel="1" x14ac:dyDescent="0.2">
      <c r="A85" s="23"/>
      <c r="B85" s="50" t="s">
        <v>105</v>
      </c>
      <c r="C85" s="25" t="s">
        <v>25</v>
      </c>
      <c r="D85" s="25" t="s">
        <v>10</v>
      </c>
      <c r="E85" s="25" t="s">
        <v>8</v>
      </c>
      <c r="F85" s="9">
        <v>103698</v>
      </c>
      <c r="G85" s="9">
        <f>81552.1-20000</f>
        <v>61552.100000000006</v>
      </c>
      <c r="H85" s="9">
        <f>SUM(F85:G85)</f>
        <v>165250.1</v>
      </c>
      <c r="I85" s="32" t="s">
        <v>198</v>
      </c>
      <c r="J85" s="9"/>
      <c r="K85" s="9">
        <f>SUM(H85,J85)</f>
        <v>165250.1</v>
      </c>
      <c r="L85" s="32"/>
      <c r="M85" s="9"/>
      <c r="N85" s="9">
        <f>SUM(K85,M85)</f>
        <v>165250.1</v>
      </c>
      <c r="O85" s="32"/>
    </row>
    <row r="86" spans="1:15" s="13" customFormat="1" ht="59.25" customHeight="1" collapsed="1" x14ac:dyDescent="0.2">
      <c r="A86" s="10"/>
      <c r="B86" s="51" t="s">
        <v>106</v>
      </c>
      <c r="C86" s="11" t="s">
        <v>25</v>
      </c>
      <c r="D86" s="11" t="s">
        <v>14</v>
      </c>
      <c r="E86" s="11" t="s">
        <v>3</v>
      </c>
      <c r="F86" s="12">
        <f>SUM(F87)</f>
        <v>1000</v>
      </c>
      <c r="G86" s="12">
        <f t="shared" ref="G86:N86" si="85">SUM(G87)</f>
        <v>0</v>
      </c>
      <c r="H86" s="12">
        <f t="shared" si="85"/>
        <v>1000</v>
      </c>
      <c r="I86" s="12"/>
      <c r="J86" s="12">
        <f t="shared" si="85"/>
        <v>-99.5</v>
      </c>
      <c r="K86" s="12">
        <f t="shared" si="85"/>
        <v>900.5</v>
      </c>
      <c r="L86" s="34" t="s">
        <v>207</v>
      </c>
      <c r="M86" s="12">
        <f t="shared" si="85"/>
        <v>-99.5</v>
      </c>
      <c r="N86" s="12">
        <f t="shared" si="85"/>
        <v>801</v>
      </c>
      <c r="O86" s="34" t="s">
        <v>275</v>
      </c>
    </row>
    <row r="87" spans="1:15" ht="60" hidden="1" customHeight="1" outlineLevel="1" x14ac:dyDescent="0.2">
      <c r="A87" s="23"/>
      <c r="B87" s="50" t="s">
        <v>107</v>
      </c>
      <c r="C87" s="25" t="s">
        <v>25</v>
      </c>
      <c r="D87" s="25" t="s">
        <v>14</v>
      </c>
      <c r="E87" s="25" t="s">
        <v>8</v>
      </c>
      <c r="F87" s="9">
        <v>1000</v>
      </c>
      <c r="G87" s="9"/>
      <c r="H87" s="9">
        <f>SUM(F87:G87)</f>
        <v>1000</v>
      </c>
      <c r="I87" s="9"/>
      <c r="J87" s="9">
        <v>-99.5</v>
      </c>
      <c r="K87" s="9">
        <f>SUM(H87,J87)</f>
        <v>900.5</v>
      </c>
      <c r="L87" s="32" t="s">
        <v>207</v>
      </c>
      <c r="M87" s="9">
        <f>-99.5</f>
        <v>-99.5</v>
      </c>
      <c r="N87" s="9">
        <f>SUM(K87,M87)</f>
        <v>801</v>
      </c>
      <c r="O87" s="32" t="s">
        <v>275</v>
      </c>
    </row>
    <row r="88" spans="1:15" s="30" customFormat="1" ht="21.75" customHeight="1" collapsed="1" x14ac:dyDescent="0.2">
      <c r="A88" s="27"/>
      <c r="B88" s="49" t="s">
        <v>108</v>
      </c>
      <c r="C88" s="28" t="s">
        <v>24</v>
      </c>
      <c r="D88" s="28" t="s">
        <v>3</v>
      </c>
      <c r="E88" s="28" t="s">
        <v>3</v>
      </c>
      <c r="F88" s="29">
        <f>SUM(F89,F93,F97,F99,F101)</f>
        <v>65444.2</v>
      </c>
      <c r="G88" s="29">
        <f t="shared" ref="G88:H88" si="86">SUM(G89,G93,G97,G99,G101)</f>
        <v>17159.599999999999</v>
      </c>
      <c r="H88" s="29">
        <f t="shared" si="86"/>
        <v>82603.899999999994</v>
      </c>
      <c r="I88" s="29"/>
      <c r="J88" s="29">
        <f t="shared" ref="J88:K88" si="87">SUM(J89,J93,J97,J99,J101)</f>
        <v>-983.89999999999986</v>
      </c>
      <c r="K88" s="29">
        <f t="shared" si="87"/>
        <v>81619.899999999994</v>
      </c>
      <c r="L88" s="42"/>
      <c r="M88" s="29">
        <f t="shared" ref="M88:N88" si="88">SUM(M89,M93,M97,M99,M101)</f>
        <v>7907.9000000000005</v>
      </c>
      <c r="N88" s="29">
        <f t="shared" si="88"/>
        <v>89527.799999999988</v>
      </c>
      <c r="O88" s="42"/>
    </row>
    <row r="89" spans="1:15" s="13" customFormat="1" ht="142.5" customHeight="1" x14ac:dyDescent="0.2">
      <c r="A89" s="10"/>
      <c r="B89" s="51" t="s">
        <v>109</v>
      </c>
      <c r="C89" s="11" t="s">
        <v>24</v>
      </c>
      <c r="D89" s="11" t="s">
        <v>12</v>
      </c>
      <c r="E89" s="11" t="s">
        <v>3</v>
      </c>
      <c r="F89" s="12">
        <f>SUM(F90:F92)</f>
        <v>39382.5</v>
      </c>
      <c r="G89" s="12">
        <f t="shared" ref="G89" si="89">SUM(G90:G91)</f>
        <v>0</v>
      </c>
      <c r="H89" s="12">
        <f>SUM(H90:J92)</f>
        <v>39382.6</v>
      </c>
      <c r="I89" s="12"/>
      <c r="J89" s="12">
        <f t="shared" ref="J89" si="90">SUM(J90:J91)</f>
        <v>0.1</v>
      </c>
      <c r="K89" s="12">
        <f>SUM(K90:L92)</f>
        <v>39382.6</v>
      </c>
      <c r="L89" s="34" t="s">
        <v>225</v>
      </c>
      <c r="M89" s="12">
        <f>SUM(M90:M92)</f>
        <v>7910.6</v>
      </c>
      <c r="N89" s="12">
        <f>SUM(N90:N92)</f>
        <v>47293.2</v>
      </c>
      <c r="O89" s="34" t="s">
        <v>304</v>
      </c>
    </row>
    <row r="90" spans="1:15" ht="45" hidden="1" customHeight="1" outlineLevel="1" x14ac:dyDescent="0.2">
      <c r="A90" s="23"/>
      <c r="B90" s="50" t="s">
        <v>110</v>
      </c>
      <c r="C90" s="25" t="s">
        <v>24</v>
      </c>
      <c r="D90" s="25" t="s">
        <v>12</v>
      </c>
      <c r="E90" s="25" t="s">
        <v>8</v>
      </c>
      <c r="F90" s="9">
        <v>1382.5</v>
      </c>
      <c r="G90" s="9"/>
      <c r="H90" s="9">
        <f>SUM(F90:G90)</f>
        <v>1382.5</v>
      </c>
      <c r="I90" s="9"/>
      <c r="J90" s="9">
        <f>0.1</f>
        <v>0.1</v>
      </c>
      <c r="K90" s="9">
        <f t="shared" ref="K90:K91" si="91">SUM(H90,J90)</f>
        <v>1382.6</v>
      </c>
      <c r="L90" s="32" t="s">
        <v>225</v>
      </c>
      <c r="M90" s="9"/>
      <c r="N90" s="9">
        <f t="shared" ref="N90:N92" si="92">SUM(K90,M90)</f>
        <v>1382.6</v>
      </c>
      <c r="O90" s="32"/>
    </row>
    <row r="91" spans="1:15" ht="101.25" hidden="1" outlineLevel="1" x14ac:dyDescent="0.2">
      <c r="A91" s="23"/>
      <c r="B91" s="50" t="s">
        <v>111</v>
      </c>
      <c r="C91" s="25" t="s">
        <v>24</v>
      </c>
      <c r="D91" s="25" t="s">
        <v>12</v>
      </c>
      <c r="E91" s="25" t="s">
        <v>7</v>
      </c>
      <c r="F91" s="9">
        <v>38000</v>
      </c>
      <c r="G91" s="9"/>
      <c r="H91" s="9">
        <f>SUM(F91:G91)</f>
        <v>38000</v>
      </c>
      <c r="I91" s="9"/>
      <c r="J91" s="9"/>
      <c r="K91" s="9">
        <f t="shared" si="91"/>
        <v>38000</v>
      </c>
      <c r="L91" s="32"/>
      <c r="M91" s="9">
        <f>-327.2-22.3-4.7-413.1-176.1+200</f>
        <v>-743.4</v>
      </c>
      <c r="N91" s="9">
        <f t="shared" si="92"/>
        <v>37256.6</v>
      </c>
      <c r="O91" s="32" t="s">
        <v>281</v>
      </c>
    </row>
    <row r="92" spans="1:15" ht="33.75" hidden="1" outlineLevel="1" x14ac:dyDescent="0.2">
      <c r="A92" s="23"/>
      <c r="B92" s="50" t="s">
        <v>295</v>
      </c>
      <c r="C92" s="25" t="s">
        <v>24</v>
      </c>
      <c r="D92" s="25" t="s">
        <v>12</v>
      </c>
      <c r="E92" s="37" t="s">
        <v>13</v>
      </c>
      <c r="F92" s="9">
        <v>0</v>
      </c>
      <c r="G92" s="9"/>
      <c r="H92" s="9">
        <v>0</v>
      </c>
      <c r="I92" s="9"/>
      <c r="J92" s="9"/>
      <c r="K92" s="9">
        <v>0</v>
      </c>
      <c r="L92" s="32"/>
      <c r="M92" s="9">
        <v>8654</v>
      </c>
      <c r="N92" s="9">
        <f t="shared" si="92"/>
        <v>8654</v>
      </c>
      <c r="O92" s="32" t="s">
        <v>296</v>
      </c>
    </row>
    <row r="93" spans="1:15" s="13" customFormat="1" ht="43.5" customHeight="1" collapsed="1" x14ac:dyDescent="0.2">
      <c r="A93" s="10"/>
      <c r="B93" s="51" t="s">
        <v>112</v>
      </c>
      <c r="C93" s="11" t="s">
        <v>24</v>
      </c>
      <c r="D93" s="11" t="s">
        <v>10</v>
      </c>
      <c r="E93" s="11" t="s">
        <v>3</v>
      </c>
      <c r="F93" s="12">
        <f>SUM(F94:F96)</f>
        <v>22761.7</v>
      </c>
      <c r="G93" s="12">
        <f t="shared" ref="G93:H93" si="93">SUM(G94:G96)</f>
        <v>17159.599999999999</v>
      </c>
      <c r="H93" s="12">
        <f t="shared" si="93"/>
        <v>39921.299999999996</v>
      </c>
      <c r="I93" s="34" t="s">
        <v>200</v>
      </c>
      <c r="J93" s="12">
        <f t="shared" ref="J93:K93" si="94">SUM(J94:J96)</f>
        <v>-983.99999999999989</v>
      </c>
      <c r="K93" s="12">
        <f t="shared" si="94"/>
        <v>38937.299999999996</v>
      </c>
      <c r="L93" s="34" t="s">
        <v>223</v>
      </c>
      <c r="M93" s="12">
        <f t="shared" ref="M93:N93" si="95">SUM(M94:M96)</f>
        <v>-2.7</v>
      </c>
      <c r="N93" s="12">
        <f t="shared" si="95"/>
        <v>38934.6</v>
      </c>
      <c r="O93" s="34" t="s">
        <v>278</v>
      </c>
    </row>
    <row r="94" spans="1:15" ht="91.5" hidden="1" customHeight="1" outlineLevel="1" x14ac:dyDescent="0.2">
      <c r="A94" s="23"/>
      <c r="B94" s="50" t="s">
        <v>113</v>
      </c>
      <c r="C94" s="25" t="s">
        <v>24</v>
      </c>
      <c r="D94" s="25" t="s">
        <v>10</v>
      </c>
      <c r="E94" s="25" t="s">
        <v>8</v>
      </c>
      <c r="F94" s="9">
        <v>10682.6</v>
      </c>
      <c r="G94" s="9">
        <f>2159.6+15000</f>
        <v>17159.599999999999</v>
      </c>
      <c r="H94" s="9">
        <f>SUM(F94:G94)</f>
        <v>27842.199999999997</v>
      </c>
      <c r="I94" s="32" t="s">
        <v>200</v>
      </c>
      <c r="J94" s="9">
        <f>-1386.6+402.6</f>
        <v>-983.99999999999989</v>
      </c>
      <c r="K94" s="9">
        <f t="shared" ref="K94:K96" si="96">SUM(H94,J94)</f>
        <v>26858.199999999997</v>
      </c>
      <c r="L94" s="32" t="s">
        <v>222</v>
      </c>
      <c r="M94" s="9">
        <f>-2.7</f>
        <v>-2.7</v>
      </c>
      <c r="N94" s="9">
        <f t="shared" ref="N94:N96" si="97">SUM(K94,M94)</f>
        <v>26855.499999999996</v>
      </c>
      <c r="O94" s="32" t="s">
        <v>278</v>
      </c>
    </row>
    <row r="95" spans="1:15" ht="21.75" hidden="1" customHeight="1" outlineLevel="1" x14ac:dyDescent="0.2">
      <c r="A95" s="23"/>
      <c r="B95" s="50" t="s">
        <v>114</v>
      </c>
      <c r="C95" s="25" t="s">
        <v>24</v>
      </c>
      <c r="D95" s="25" t="s">
        <v>10</v>
      </c>
      <c r="E95" s="25" t="s">
        <v>7</v>
      </c>
      <c r="F95" s="9">
        <v>4300</v>
      </c>
      <c r="G95" s="9"/>
      <c r="H95" s="9">
        <f t="shared" ref="H95:H96" si="98">SUM(F95:G95)</f>
        <v>4300</v>
      </c>
      <c r="I95" s="9"/>
      <c r="J95" s="9"/>
      <c r="K95" s="9">
        <f t="shared" si="96"/>
        <v>4300</v>
      </c>
      <c r="L95" s="32"/>
      <c r="M95" s="9"/>
      <c r="N95" s="9">
        <f t="shared" si="97"/>
        <v>4300</v>
      </c>
      <c r="O95" s="32"/>
    </row>
    <row r="96" spans="1:15" ht="42.75" hidden="1" customHeight="1" outlineLevel="1" x14ac:dyDescent="0.2">
      <c r="A96" s="23"/>
      <c r="B96" s="50" t="s">
        <v>115</v>
      </c>
      <c r="C96" s="25" t="s">
        <v>24</v>
      </c>
      <c r="D96" s="25" t="s">
        <v>10</v>
      </c>
      <c r="E96" s="25" t="s">
        <v>13</v>
      </c>
      <c r="F96" s="9">
        <v>7779.1</v>
      </c>
      <c r="G96" s="9"/>
      <c r="H96" s="9">
        <f t="shared" si="98"/>
        <v>7779.1</v>
      </c>
      <c r="I96" s="9"/>
      <c r="J96" s="9"/>
      <c r="K96" s="9">
        <f t="shared" si="96"/>
        <v>7779.1</v>
      </c>
      <c r="L96" s="32"/>
      <c r="M96" s="9"/>
      <c r="N96" s="9">
        <f t="shared" si="97"/>
        <v>7779.1</v>
      </c>
      <c r="O96" s="32"/>
    </row>
    <row r="97" spans="1:15" s="13" customFormat="1" ht="21.75" customHeight="1" collapsed="1" x14ac:dyDescent="0.2">
      <c r="A97" s="10"/>
      <c r="B97" s="51" t="s">
        <v>116</v>
      </c>
      <c r="C97" s="11" t="s">
        <v>24</v>
      </c>
      <c r="D97" s="11" t="s">
        <v>14</v>
      </c>
      <c r="E97" s="11" t="s">
        <v>3</v>
      </c>
      <c r="F97" s="12">
        <f>SUM(F98)</f>
        <v>100</v>
      </c>
      <c r="G97" s="12">
        <f t="shared" ref="G97:N97" si="99">SUM(G98)</f>
        <v>0</v>
      </c>
      <c r="H97" s="12">
        <f t="shared" si="99"/>
        <v>100</v>
      </c>
      <c r="I97" s="12"/>
      <c r="J97" s="12">
        <f t="shared" si="99"/>
        <v>0</v>
      </c>
      <c r="K97" s="12">
        <f t="shared" si="99"/>
        <v>100</v>
      </c>
      <c r="L97" s="34"/>
      <c r="M97" s="12">
        <f t="shared" si="99"/>
        <v>0</v>
      </c>
      <c r="N97" s="12">
        <f t="shared" si="99"/>
        <v>100</v>
      </c>
      <c r="O97" s="34"/>
    </row>
    <row r="98" spans="1:15" ht="12.75" hidden="1" customHeight="1" outlineLevel="1" x14ac:dyDescent="0.2">
      <c r="A98" s="23"/>
      <c r="B98" s="50" t="s">
        <v>117</v>
      </c>
      <c r="C98" s="25" t="s">
        <v>24</v>
      </c>
      <c r="D98" s="25" t="s">
        <v>14</v>
      </c>
      <c r="E98" s="25" t="s">
        <v>8</v>
      </c>
      <c r="F98" s="9">
        <v>100</v>
      </c>
      <c r="G98" s="9"/>
      <c r="H98" s="9">
        <f>SUM(F98:G98)</f>
        <v>100</v>
      </c>
      <c r="I98" s="9"/>
      <c r="J98" s="9"/>
      <c r="K98" s="9">
        <f>SUM(H98,J98)</f>
        <v>100</v>
      </c>
      <c r="L98" s="32"/>
      <c r="M98" s="9"/>
      <c r="N98" s="9">
        <f>SUM(K98,M98)</f>
        <v>100</v>
      </c>
      <c r="O98" s="32"/>
    </row>
    <row r="99" spans="1:15" s="13" customFormat="1" ht="21.75" customHeight="1" collapsed="1" x14ac:dyDescent="0.2">
      <c r="A99" s="10"/>
      <c r="B99" s="51" t="s">
        <v>118</v>
      </c>
      <c r="C99" s="11" t="s">
        <v>24</v>
      </c>
      <c r="D99" s="11" t="s">
        <v>17</v>
      </c>
      <c r="E99" s="11" t="s">
        <v>3</v>
      </c>
      <c r="F99" s="12">
        <f>SUM(F100)</f>
        <v>1500</v>
      </c>
      <c r="G99" s="12">
        <f t="shared" ref="G99:N99" si="100">SUM(G100)</f>
        <v>0</v>
      </c>
      <c r="H99" s="12">
        <f t="shared" si="100"/>
        <v>1500</v>
      </c>
      <c r="I99" s="12"/>
      <c r="J99" s="12">
        <f t="shared" si="100"/>
        <v>0</v>
      </c>
      <c r="K99" s="12">
        <f t="shared" si="100"/>
        <v>1500</v>
      </c>
      <c r="L99" s="34"/>
      <c r="M99" s="12">
        <f t="shared" si="100"/>
        <v>0</v>
      </c>
      <c r="N99" s="12">
        <f t="shared" si="100"/>
        <v>1500</v>
      </c>
      <c r="O99" s="34"/>
    </row>
    <row r="100" spans="1:15" ht="21.75" hidden="1" customHeight="1" outlineLevel="1" x14ac:dyDescent="0.2">
      <c r="A100" s="23"/>
      <c r="B100" s="50" t="s">
        <v>119</v>
      </c>
      <c r="C100" s="25" t="s">
        <v>24</v>
      </c>
      <c r="D100" s="25" t="s">
        <v>17</v>
      </c>
      <c r="E100" s="25" t="s">
        <v>8</v>
      </c>
      <c r="F100" s="9">
        <v>1500</v>
      </c>
      <c r="G100" s="9"/>
      <c r="H100" s="9">
        <f>SUM(F100:G100)</f>
        <v>1500</v>
      </c>
      <c r="I100" s="9"/>
      <c r="J100" s="9"/>
      <c r="K100" s="9">
        <f>SUM(H100,J100)</f>
        <v>1500</v>
      </c>
      <c r="L100" s="32"/>
      <c r="M100" s="9"/>
      <c r="N100" s="9">
        <f>SUM(K100,M100)</f>
        <v>1500</v>
      </c>
      <c r="O100" s="32"/>
    </row>
    <row r="101" spans="1:15" s="13" customFormat="1" ht="21.75" customHeight="1" collapsed="1" x14ac:dyDescent="0.2">
      <c r="A101" s="10"/>
      <c r="B101" s="51" t="s">
        <v>120</v>
      </c>
      <c r="C101" s="11" t="s">
        <v>24</v>
      </c>
      <c r="D101" s="11" t="s">
        <v>23</v>
      </c>
      <c r="E101" s="11" t="s">
        <v>3</v>
      </c>
      <c r="F101" s="12">
        <f>SUM(F102)</f>
        <v>1700</v>
      </c>
      <c r="G101" s="12">
        <f t="shared" ref="G101:N101" si="101">SUM(G102)</f>
        <v>0</v>
      </c>
      <c r="H101" s="12">
        <f t="shared" si="101"/>
        <v>1700</v>
      </c>
      <c r="I101" s="12"/>
      <c r="J101" s="12">
        <f t="shared" si="101"/>
        <v>0</v>
      </c>
      <c r="K101" s="12">
        <f t="shared" si="101"/>
        <v>1700</v>
      </c>
      <c r="L101" s="34"/>
      <c r="M101" s="12">
        <f t="shared" si="101"/>
        <v>0</v>
      </c>
      <c r="N101" s="12">
        <f t="shared" si="101"/>
        <v>1700</v>
      </c>
      <c r="O101" s="34"/>
    </row>
    <row r="102" spans="1:15" ht="21.75" hidden="1" customHeight="1" outlineLevel="1" x14ac:dyDescent="0.2">
      <c r="A102" s="23"/>
      <c r="B102" s="50" t="s">
        <v>121</v>
      </c>
      <c r="C102" s="25" t="s">
        <v>24</v>
      </c>
      <c r="D102" s="25" t="s">
        <v>23</v>
      </c>
      <c r="E102" s="25" t="s">
        <v>8</v>
      </c>
      <c r="F102" s="9">
        <v>1700</v>
      </c>
      <c r="G102" s="9"/>
      <c r="H102" s="9">
        <f>SUM(F102:G102)</f>
        <v>1700</v>
      </c>
      <c r="I102" s="9"/>
      <c r="J102" s="9"/>
      <c r="K102" s="9">
        <f>SUM(H102,J102)</f>
        <v>1700</v>
      </c>
      <c r="L102" s="32"/>
      <c r="M102" s="9"/>
      <c r="N102" s="9">
        <f>SUM(K102,M102)</f>
        <v>1700</v>
      </c>
      <c r="O102" s="32"/>
    </row>
    <row r="103" spans="1:15" s="30" customFormat="1" ht="21.75" customHeight="1" collapsed="1" x14ac:dyDescent="0.2">
      <c r="A103" s="27"/>
      <c r="B103" s="49" t="s">
        <v>122</v>
      </c>
      <c r="C103" s="28" t="s">
        <v>22</v>
      </c>
      <c r="D103" s="28" t="s">
        <v>3</v>
      </c>
      <c r="E103" s="28" t="s">
        <v>3</v>
      </c>
      <c r="F103" s="29">
        <f>SUM(F104)</f>
        <v>16192.2</v>
      </c>
      <c r="G103" s="29">
        <f t="shared" ref="G103:N103" si="102">SUM(G104)</f>
        <v>0</v>
      </c>
      <c r="H103" s="29">
        <f t="shared" si="102"/>
        <v>16192.2</v>
      </c>
      <c r="I103" s="29"/>
      <c r="J103" s="29">
        <f t="shared" si="102"/>
        <v>0</v>
      </c>
      <c r="K103" s="29">
        <f t="shared" si="102"/>
        <v>16192.2</v>
      </c>
      <c r="L103" s="42"/>
      <c r="M103" s="29">
        <f t="shared" si="102"/>
        <v>0</v>
      </c>
      <c r="N103" s="29">
        <f t="shared" si="102"/>
        <v>16192.2</v>
      </c>
      <c r="O103" s="42"/>
    </row>
    <row r="104" spans="1:15" ht="21.75" hidden="1" customHeight="1" outlineLevel="1" x14ac:dyDescent="0.2">
      <c r="A104" s="23"/>
      <c r="B104" s="50" t="s">
        <v>123</v>
      </c>
      <c r="C104" s="25" t="s">
        <v>22</v>
      </c>
      <c r="D104" s="25" t="s">
        <v>1</v>
      </c>
      <c r="E104" s="25" t="s">
        <v>8</v>
      </c>
      <c r="F104" s="9">
        <v>16192.2</v>
      </c>
      <c r="G104" s="9"/>
      <c r="H104" s="9">
        <f>SUM(F104:G104)</f>
        <v>16192.2</v>
      </c>
      <c r="I104" s="9"/>
      <c r="J104" s="9"/>
      <c r="K104" s="9">
        <f>SUM(H104,J104)</f>
        <v>16192.2</v>
      </c>
      <c r="L104" s="32"/>
      <c r="M104" s="9"/>
      <c r="N104" s="9">
        <f>SUM(K104,M104)</f>
        <v>16192.2</v>
      </c>
      <c r="O104" s="32"/>
    </row>
    <row r="105" spans="1:15" s="30" customFormat="1" ht="21.75" customHeight="1" collapsed="1" x14ac:dyDescent="0.2">
      <c r="A105" s="27"/>
      <c r="B105" s="49" t="s">
        <v>124</v>
      </c>
      <c r="C105" s="28" t="s">
        <v>21</v>
      </c>
      <c r="D105" s="28" t="s">
        <v>3</v>
      </c>
      <c r="E105" s="28" t="s">
        <v>3</v>
      </c>
      <c r="F105" s="29">
        <f>SUM(F106:F107)</f>
        <v>687.5</v>
      </c>
      <c r="G105" s="29">
        <f t="shared" ref="G105:H105" si="103">SUM(G106:G107)</f>
        <v>0</v>
      </c>
      <c r="H105" s="29">
        <f t="shared" si="103"/>
        <v>687.5</v>
      </c>
      <c r="I105" s="29"/>
      <c r="J105" s="29">
        <f t="shared" ref="J105:K105" si="104">SUM(J106:J107)</f>
        <v>0</v>
      </c>
      <c r="K105" s="29">
        <f t="shared" si="104"/>
        <v>687.5</v>
      </c>
      <c r="L105" s="42"/>
      <c r="M105" s="29">
        <f t="shared" ref="M105:N105" si="105">SUM(M106:M107)</f>
        <v>0</v>
      </c>
      <c r="N105" s="29">
        <f t="shared" si="105"/>
        <v>687.5</v>
      </c>
      <c r="O105" s="42"/>
    </row>
    <row r="106" spans="1:15" ht="21.75" hidden="1" customHeight="1" outlineLevel="1" x14ac:dyDescent="0.2">
      <c r="A106" s="23"/>
      <c r="B106" s="50" t="s">
        <v>125</v>
      </c>
      <c r="C106" s="25" t="s">
        <v>21</v>
      </c>
      <c r="D106" s="25" t="s">
        <v>1</v>
      </c>
      <c r="E106" s="25" t="s">
        <v>8</v>
      </c>
      <c r="F106" s="9">
        <v>687.5</v>
      </c>
      <c r="G106" s="9"/>
      <c r="H106" s="9">
        <f>SUM(F106:G106)</f>
        <v>687.5</v>
      </c>
      <c r="I106" s="9"/>
      <c r="J106" s="9"/>
      <c r="K106" s="9">
        <f t="shared" ref="K106:K107" si="106">SUM(H106,J106)</f>
        <v>687.5</v>
      </c>
      <c r="L106" s="32"/>
      <c r="M106" s="9"/>
      <c r="N106" s="9">
        <f t="shared" ref="N106:N107" si="107">SUM(K106,M106)</f>
        <v>687.5</v>
      </c>
      <c r="O106" s="32"/>
    </row>
    <row r="107" spans="1:15" ht="32.25" hidden="1" customHeight="1" outlineLevel="1" x14ac:dyDescent="0.2">
      <c r="A107" s="23"/>
      <c r="B107" s="50" t="s">
        <v>126</v>
      </c>
      <c r="C107" s="25" t="s">
        <v>21</v>
      </c>
      <c r="D107" s="25" t="s">
        <v>1</v>
      </c>
      <c r="E107" s="25" t="s">
        <v>7</v>
      </c>
      <c r="F107" s="9">
        <v>0</v>
      </c>
      <c r="G107" s="9"/>
      <c r="H107" s="9">
        <f>SUM(F107:G107)</f>
        <v>0</v>
      </c>
      <c r="I107" s="9"/>
      <c r="J107" s="9"/>
      <c r="K107" s="9">
        <f t="shared" si="106"/>
        <v>0</v>
      </c>
      <c r="L107" s="32"/>
      <c r="M107" s="9"/>
      <c r="N107" s="9">
        <f t="shared" si="107"/>
        <v>0</v>
      </c>
      <c r="O107" s="32"/>
    </row>
    <row r="108" spans="1:15" s="30" customFormat="1" ht="32.25" customHeight="1" collapsed="1" x14ac:dyDescent="0.2">
      <c r="A108" s="27"/>
      <c r="B108" s="49" t="s">
        <v>127</v>
      </c>
      <c r="C108" s="28" t="s">
        <v>20</v>
      </c>
      <c r="D108" s="28" t="s">
        <v>3</v>
      </c>
      <c r="E108" s="28" t="s">
        <v>3</v>
      </c>
      <c r="F108" s="29">
        <f>SUM(F109,F114)</f>
        <v>567.20000000000005</v>
      </c>
      <c r="G108" s="29">
        <f t="shared" ref="G108:H108" si="108">SUM(G109,G114)</f>
        <v>0</v>
      </c>
      <c r="H108" s="29">
        <f t="shared" si="108"/>
        <v>567.20000000000005</v>
      </c>
      <c r="I108" s="29"/>
      <c r="J108" s="29">
        <f t="shared" ref="J108:K108" si="109">SUM(J109,J114)</f>
        <v>2496</v>
      </c>
      <c r="K108" s="29">
        <f t="shared" si="109"/>
        <v>3063.2</v>
      </c>
      <c r="L108" s="42"/>
      <c r="M108" s="29">
        <f t="shared" ref="M108:N108" si="110">SUM(M109,M114)</f>
        <v>0</v>
      </c>
      <c r="N108" s="29">
        <f t="shared" si="110"/>
        <v>3063.2</v>
      </c>
      <c r="O108" s="42"/>
    </row>
    <row r="109" spans="1:15" s="13" customFormat="1" ht="45.75" customHeight="1" x14ac:dyDescent="0.2">
      <c r="A109" s="10"/>
      <c r="B109" s="51" t="s">
        <v>128</v>
      </c>
      <c r="C109" s="11" t="s">
        <v>20</v>
      </c>
      <c r="D109" s="11" t="s">
        <v>12</v>
      </c>
      <c r="E109" s="11" t="s">
        <v>3</v>
      </c>
      <c r="F109" s="12">
        <f>SUM(F110:F113)</f>
        <v>417.2</v>
      </c>
      <c r="G109" s="12">
        <f t="shared" ref="G109:H109" si="111">SUM(G110:G113)</f>
        <v>0</v>
      </c>
      <c r="H109" s="12">
        <f t="shared" si="111"/>
        <v>417.2</v>
      </c>
      <c r="I109" s="12"/>
      <c r="J109" s="12">
        <f t="shared" ref="J109:K109" si="112">SUM(J110:J113)</f>
        <v>2496</v>
      </c>
      <c r="K109" s="12">
        <f t="shared" si="112"/>
        <v>2913.2</v>
      </c>
      <c r="L109" s="34" t="s">
        <v>242</v>
      </c>
      <c r="M109" s="12">
        <f t="shared" ref="M109:N109" si="113">SUM(M110:M113)</f>
        <v>0</v>
      </c>
      <c r="N109" s="12">
        <f t="shared" si="113"/>
        <v>2913.2</v>
      </c>
      <c r="O109" s="34"/>
    </row>
    <row r="110" spans="1:15" ht="12.75" hidden="1" customHeight="1" outlineLevel="1" x14ac:dyDescent="0.2">
      <c r="A110" s="23"/>
      <c r="B110" s="50" t="s">
        <v>129</v>
      </c>
      <c r="C110" s="25" t="s">
        <v>20</v>
      </c>
      <c r="D110" s="25" t="s">
        <v>12</v>
      </c>
      <c r="E110" s="25" t="s">
        <v>8</v>
      </c>
      <c r="F110" s="9">
        <v>67.2</v>
      </c>
      <c r="G110" s="9"/>
      <c r="H110" s="9">
        <f>SUM(F110:G110)</f>
        <v>67.2</v>
      </c>
      <c r="I110" s="9"/>
      <c r="J110" s="9"/>
      <c r="K110" s="9">
        <f t="shared" ref="K110:K113" si="114">SUM(H110,J110)</f>
        <v>67.2</v>
      </c>
      <c r="L110" s="32"/>
      <c r="M110" s="9"/>
      <c r="N110" s="9">
        <f t="shared" ref="N110:N113" si="115">SUM(K110,M110)</f>
        <v>67.2</v>
      </c>
      <c r="O110" s="32"/>
    </row>
    <row r="111" spans="1:15" ht="112.5" hidden="1" customHeight="1" outlineLevel="1" x14ac:dyDescent="0.2">
      <c r="A111" s="23"/>
      <c r="B111" s="50" t="s">
        <v>130</v>
      </c>
      <c r="C111" s="25" t="s">
        <v>20</v>
      </c>
      <c r="D111" s="25" t="s">
        <v>12</v>
      </c>
      <c r="E111" s="25" t="s">
        <v>7</v>
      </c>
      <c r="F111" s="9">
        <v>200</v>
      </c>
      <c r="G111" s="9">
        <f>-54</f>
        <v>-54</v>
      </c>
      <c r="H111" s="9">
        <f t="shared" ref="H111:H113" si="116">SUM(F111:G111)</f>
        <v>146</v>
      </c>
      <c r="I111" s="32" t="s">
        <v>182</v>
      </c>
      <c r="J111" s="9">
        <f>748.8+1747.2</f>
        <v>2496</v>
      </c>
      <c r="K111" s="9">
        <f t="shared" si="114"/>
        <v>2642</v>
      </c>
      <c r="L111" s="32" t="s">
        <v>224</v>
      </c>
      <c r="M111" s="9">
        <v>-18.5</v>
      </c>
      <c r="N111" s="9">
        <f t="shared" si="115"/>
        <v>2623.5</v>
      </c>
      <c r="O111" s="32" t="s">
        <v>262</v>
      </c>
    </row>
    <row r="112" spans="1:15" ht="34.5" hidden="1" customHeight="1" outlineLevel="1" x14ac:dyDescent="0.2">
      <c r="A112" s="23"/>
      <c r="B112" s="50" t="s">
        <v>131</v>
      </c>
      <c r="C112" s="25" t="s">
        <v>20</v>
      </c>
      <c r="D112" s="25" t="s">
        <v>12</v>
      </c>
      <c r="E112" s="25" t="s">
        <v>13</v>
      </c>
      <c r="F112" s="9">
        <v>100</v>
      </c>
      <c r="G112" s="9">
        <f>54</f>
        <v>54</v>
      </c>
      <c r="H112" s="9">
        <f t="shared" si="116"/>
        <v>154</v>
      </c>
      <c r="I112" s="32" t="s">
        <v>181</v>
      </c>
      <c r="J112" s="9"/>
      <c r="K112" s="9">
        <f t="shared" si="114"/>
        <v>154</v>
      </c>
      <c r="L112" s="32"/>
      <c r="M112" s="9">
        <v>18.5</v>
      </c>
      <c r="N112" s="9">
        <f t="shared" si="115"/>
        <v>172.5</v>
      </c>
      <c r="O112" s="32" t="s">
        <v>263</v>
      </c>
    </row>
    <row r="113" spans="1:15" ht="21.75" hidden="1" customHeight="1" outlineLevel="1" x14ac:dyDescent="0.2">
      <c r="A113" s="23"/>
      <c r="B113" s="50" t="s">
        <v>132</v>
      </c>
      <c r="C113" s="25" t="s">
        <v>20</v>
      </c>
      <c r="D113" s="25" t="s">
        <v>12</v>
      </c>
      <c r="E113" s="25" t="s">
        <v>6</v>
      </c>
      <c r="F113" s="9">
        <v>50</v>
      </c>
      <c r="G113" s="9"/>
      <c r="H113" s="9">
        <f t="shared" si="116"/>
        <v>50</v>
      </c>
      <c r="I113" s="9"/>
      <c r="J113" s="9"/>
      <c r="K113" s="9">
        <f t="shared" si="114"/>
        <v>50</v>
      </c>
      <c r="L113" s="32"/>
      <c r="M113" s="9"/>
      <c r="N113" s="9">
        <f t="shared" si="115"/>
        <v>50</v>
      </c>
      <c r="O113" s="32"/>
    </row>
    <row r="114" spans="1:15" s="13" customFormat="1" ht="21.75" customHeight="1" collapsed="1" x14ac:dyDescent="0.2">
      <c r="A114" s="10"/>
      <c r="B114" s="51" t="s">
        <v>133</v>
      </c>
      <c r="C114" s="11" t="s">
        <v>20</v>
      </c>
      <c r="D114" s="11" t="s">
        <v>10</v>
      </c>
      <c r="E114" s="11" t="s">
        <v>3</v>
      </c>
      <c r="F114" s="12">
        <f>SUM(F115)</f>
        <v>150</v>
      </c>
      <c r="G114" s="12">
        <f t="shared" ref="G114:N114" si="117">SUM(G115)</f>
        <v>0</v>
      </c>
      <c r="H114" s="12">
        <f t="shared" si="117"/>
        <v>150</v>
      </c>
      <c r="I114" s="12"/>
      <c r="J114" s="12">
        <f t="shared" si="117"/>
        <v>0</v>
      </c>
      <c r="K114" s="12">
        <f t="shared" si="117"/>
        <v>150</v>
      </c>
      <c r="L114" s="34"/>
      <c r="M114" s="12">
        <f t="shared" si="117"/>
        <v>0</v>
      </c>
      <c r="N114" s="12">
        <f t="shared" si="117"/>
        <v>150</v>
      </c>
      <c r="O114" s="34"/>
    </row>
    <row r="115" spans="1:15" ht="12.75" hidden="1" customHeight="1" outlineLevel="1" x14ac:dyDescent="0.2">
      <c r="A115" s="23"/>
      <c r="B115" s="50" t="s">
        <v>134</v>
      </c>
      <c r="C115" s="25" t="s">
        <v>20</v>
      </c>
      <c r="D115" s="25" t="s">
        <v>10</v>
      </c>
      <c r="E115" s="25" t="s">
        <v>8</v>
      </c>
      <c r="F115" s="9">
        <v>150</v>
      </c>
      <c r="G115" s="9"/>
      <c r="H115" s="9">
        <f>SUM(F115:G115)</f>
        <v>150</v>
      </c>
      <c r="I115" s="9"/>
      <c r="J115" s="9"/>
      <c r="K115" s="9">
        <f>SUM(H115,J115)</f>
        <v>150</v>
      </c>
      <c r="L115" s="32"/>
      <c r="M115" s="9"/>
      <c r="N115" s="9">
        <f>SUM(K115,M115)</f>
        <v>150</v>
      </c>
      <c r="O115" s="32"/>
    </row>
    <row r="116" spans="1:15" s="30" customFormat="1" ht="21.75" customHeight="1" collapsed="1" x14ac:dyDescent="0.2">
      <c r="A116" s="27"/>
      <c r="B116" s="49" t="s">
        <v>135</v>
      </c>
      <c r="C116" s="28" t="s">
        <v>19</v>
      </c>
      <c r="D116" s="28" t="s">
        <v>3</v>
      </c>
      <c r="E116" s="28" t="s">
        <v>3</v>
      </c>
      <c r="F116" s="29">
        <f>SUM(F117,F119)</f>
        <v>350</v>
      </c>
      <c r="G116" s="29">
        <f t="shared" ref="G116:H116" si="118">SUM(G117,G119)</f>
        <v>0</v>
      </c>
      <c r="H116" s="29">
        <f t="shared" si="118"/>
        <v>350</v>
      </c>
      <c r="I116" s="29"/>
      <c r="J116" s="29">
        <f t="shared" ref="J116:K116" si="119">SUM(J117,J119)</f>
        <v>0</v>
      </c>
      <c r="K116" s="29">
        <f t="shared" si="119"/>
        <v>350</v>
      </c>
      <c r="L116" s="42"/>
      <c r="M116" s="29">
        <f t="shared" ref="M116:N116" si="120">SUM(M117,M119)</f>
        <v>0</v>
      </c>
      <c r="N116" s="29">
        <f t="shared" si="120"/>
        <v>350</v>
      </c>
      <c r="O116" s="42"/>
    </row>
    <row r="117" spans="1:15" s="13" customFormat="1" ht="42.75" customHeight="1" x14ac:dyDescent="0.2">
      <c r="A117" s="10"/>
      <c r="B117" s="51" t="s">
        <v>136</v>
      </c>
      <c r="C117" s="11" t="s">
        <v>19</v>
      </c>
      <c r="D117" s="11" t="s">
        <v>12</v>
      </c>
      <c r="E117" s="11" t="s">
        <v>3</v>
      </c>
      <c r="F117" s="12">
        <f>SUM(F118)</f>
        <v>150</v>
      </c>
      <c r="G117" s="12">
        <f t="shared" ref="G117:N117" si="121">SUM(G118)</f>
        <v>0</v>
      </c>
      <c r="H117" s="12">
        <f t="shared" si="121"/>
        <v>150</v>
      </c>
      <c r="I117" s="12"/>
      <c r="J117" s="12">
        <f t="shared" si="121"/>
        <v>0</v>
      </c>
      <c r="K117" s="12">
        <f t="shared" si="121"/>
        <v>150</v>
      </c>
      <c r="L117" s="34"/>
      <c r="M117" s="12">
        <f t="shared" si="121"/>
        <v>0</v>
      </c>
      <c r="N117" s="12">
        <f t="shared" si="121"/>
        <v>150</v>
      </c>
      <c r="O117" s="34"/>
    </row>
    <row r="118" spans="1:15" ht="21.75" hidden="1" customHeight="1" outlineLevel="1" x14ac:dyDescent="0.2">
      <c r="A118" s="23"/>
      <c r="B118" s="50" t="s">
        <v>137</v>
      </c>
      <c r="C118" s="25" t="s">
        <v>19</v>
      </c>
      <c r="D118" s="25" t="s">
        <v>12</v>
      </c>
      <c r="E118" s="25" t="s">
        <v>8</v>
      </c>
      <c r="F118" s="9">
        <v>150</v>
      </c>
      <c r="G118" s="9"/>
      <c r="H118" s="9">
        <f>SUM(F118:G118)</f>
        <v>150</v>
      </c>
      <c r="I118" s="9"/>
      <c r="J118" s="9"/>
      <c r="K118" s="9">
        <f>SUM(H118,J118)</f>
        <v>150</v>
      </c>
      <c r="L118" s="32"/>
      <c r="M118" s="9"/>
      <c r="N118" s="9">
        <f>SUM(K118,M118)</f>
        <v>150</v>
      </c>
      <c r="O118" s="32"/>
    </row>
    <row r="119" spans="1:15" s="13" customFormat="1" ht="21.75" customHeight="1" collapsed="1" x14ac:dyDescent="0.2">
      <c r="A119" s="10"/>
      <c r="B119" s="51" t="s">
        <v>138</v>
      </c>
      <c r="C119" s="11" t="s">
        <v>19</v>
      </c>
      <c r="D119" s="11" t="s">
        <v>10</v>
      </c>
      <c r="E119" s="11" t="s">
        <v>3</v>
      </c>
      <c r="F119" s="12">
        <f>SUM(F120)</f>
        <v>200</v>
      </c>
      <c r="G119" s="12">
        <f t="shared" ref="G119:N119" si="122">SUM(G120)</f>
        <v>0</v>
      </c>
      <c r="H119" s="12">
        <f t="shared" si="122"/>
        <v>200</v>
      </c>
      <c r="I119" s="12"/>
      <c r="J119" s="12">
        <f t="shared" si="122"/>
        <v>0</v>
      </c>
      <c r="K119" s="12">
        <f t="shared" si="122"/>
        <v>200</v>
      </c>
      <c r="L119" s="34"/>
      <c r="M119" s="12">
        <f t="shared" si="122"/>
        <v>0</v>
      </c>
      <c r="N119" s="12">
        <f t="shared" si="122"/>
        <v>200</v>
      </c>
      <c r="O119" s="34"/>
    </row>
    <row r="120" spans="1:15" ht="21.75" hidden="1" customHeight="1" outlineLevel="1" x14ac:dyDescent="0.2">
      <c r="A120" s="23"/>
      <c r="B120" s="50" t="s">
        <v>139</v>
      </c>
      <c r="C120" s="25" t="s">
        <v>19</v>
      </c>
      <c r="D120" s="25" t="s">
        <v>10</v>
      </c>
      <c r="E120" s="25" t="s">
        <v>8</v>
      </c>
      <c r="F120" s="9">
        <v>200</v>
      </c>
      <c r="G120" s="9"/>
      <c r="H120" s="9">
        <f>SUM(F120:G120)</f>
        <v>200</v>
      </c>
      <c r="I120" s="9"/>
      <c r="J120" s="9"/>
      <c r="K120" s="9">
        <f>SUM(H120,J120)</f>
        <v>200</v>
      </c>
      <c r="L120" s="32"/>
      <c r="M120" s="9"/>
      <c r="N120" s="9">
        <f>SUM(K120,M120)</f>
        <v>200</v>
      </c>
      <c r="O120" s="32"/>
    </row>
    <row r="121" spans="1:15" s="30" customFormat="1" ht="21.75" customHeight="1" collapsed="1" x14ac:dyDescent="0.2">
      <c r="A121" s="27"/>
      <c r="B121" s="49" t="s">
        <v>140</v>
      </c>
      <c r="C121" s="28" t="s">
        <v>18</v>
      </c>
      <c r="D121" s="28" t="s">
        <v>3</v>
      </c>
      <c r="E121" s="28" t="s">
        <v>3</v>
      </c>
      <c r="F121" s="29">
        <f>SUM(F122,F130,F132,F136)</f>
        <v>2292318.2000000002</v>
      </c>
      <c r="G121" s="29">
        <f t="shared" ref="G121:H121" si="123">SUM(G122,G130,G132,G136)</f>
        <v>447.2</v>
      </c>
      <c r="H121" s="29">
        <f t="shared" si="123"/>
        <v>2292765.4</v>
      </c>
      <c r="I121" s="29"/>
      <c r="J121" s="29">
        <f t="shared" ref="J121:K121" si="124">SUM(J122,J130,J132,J136)</f>
        <v>41194.199999999997</v>
      </c>
      <c r="K121" s="29">
        <f t="shared" si="124"/>
        <v>2333959.6</v>
      </c>
      <c r="L121" s="42"/>
      <c r="M121" s="29">
        <f t="shared" ref="M121:N121" si="125">SUM(M122,M130,M132,M136)</f>
        <v>1122.3</v>
      </c>
      <c r="N121" s="29">
        <f t="shared" si="125"/>
        <v>2335081.9</v>
      </c>
      <c r="O121" s="42"/>
    </row>
    <row r="122" spans="1:15" s="13" customFormat="1" ht="136.5" customHeight="1" x14ac:dyDescent="0.2">
      <c r="A122" s="10"/>
      <c r="B122" s="51" t="s">
        <v>141</v>
      </c>
      <c r="C122" s="11" t="s">
        <v>18</v>
      </c>
      <c r="D122" s="11" t="s">
        <v>12</v>
      </c>
      <c r="E122" s="11" t="s">
        <v>3</v>
      </c>
      <c r="F122" s="12">
        <f>SUM(F123:F129)</f>
        <v>2157822.1</v>
      </c>
      <c r="G122" s="12">
        <f t="shared" ref="G122:H122" si="126">SUM(G123:G129)</f>
        <v>447.2</v>
      </c>
      <c r="H122" s="12">
        <f t="shared" si="126"/>
        <v>2158269.2999999998</v>
      </c>
      <c r="I122" s="36" t="s">
        <v>188</v>
      </c>
      <c r="J122" s="12">
        <f t="shared" ref="J122:K122" si="127">SUM(J123:J129)</f>
        <v>23263.599999999999</v>
      </c>
      <c r="K122" s="12">
        <f t="shared" si="127"/>
        <v>2181532.9</v>
      </c>
      <c r="L122" s="36" t="s">
        <v>209</v>
      </c>
      <c r="M122" s="12">
        <f t="shared" ref="M122:N122" si="128">SUM(M123:M129)</f>
        <v>132.59999999999991</v>
      </c>
      <c r="N122" s="12">
        <f t="shared" si="128"/>
        <v>2181665.5</v>
      </c>
      <c r="O122" s="36" t="s">
        <v>297</v>
      </c>
    </row>
    <row r="123" spans="1:15" ht="39.75" hidden="1" customHeight="1" outlineLevel="1" x14ac:dyDescent="0.2">
      <c r="A123" s="23"/>
      <c r="B123" s="50" t="s">
        <v>142</v>
      </c>
      <c r="C123" s="25" t="s">
        <v>18</v>
      </c>
      <c r="D123" s="25" t="s">
        <v>12</v>
      </c>
      <c r="E123" s="25" t="s">
        <v>8</v>
      </c>
      <c r="F123" s="9">
        <v>32139.200000000001</v>
      </c>
      <c r="G123" s="9"/>
      <c r="H123" s="9">
        <f>SUM(F123:G123)</f>
        <v>32139.200000000001</v>
      </c>
      <c r="I123" s="9"/>
      <c r="J123" s="9"/>
      <c r="K123" s="9">
        <f t="shared" ref="K123:K129" si="129">SUM(H123,J123)</f>
        <v>32139.200000000001</v>
      </c>
      <c r="L123" s="32"/>
      <c r="M123" s="9">
        <v>6.2</v>
      </c>
      <c r="N123" s="9">
        <f t="shared" ref="N123:N129" si="130">SUM(K123,M123)</f>
        <v>32145.4</v>
      </c>
      <c r="O123" s="59" t="s">
        <v>270</v>
      </c>
    </row>
    <row r="124" spans="1:15" ht="125.25" hidden="1" customHeight="1" outlineLevel="1" x14ac:dyDescent="0.2">
      <c r="A124" s="23"/>
      <c r="B124" s="50" t="s">
        <v>143</v>
      </c>
      <c r="C124" s="25" t="s">
        <v>18</v>
      </c>
      <c r="D124" s="25" t="s">
        <v>12</v>
      </c>
      <c r="E124" s="25" t="s">
        <v>7</v>
      </c>
      <c r="F124" s="9">
        <v>1964776</v>
      </c>
      <c r="G124" s="9">
        <f>447.2</f>
        <v>447.2</v>
      </c>
      <c r="H124" s="9">
        <f t="shared" ref="H124:H129" si="131">SUM(F124:G124)</f>
        <v>1965223.2</v>
      </c>
      <c r="I124" s="32" t="s">
        <v>188</v>
      </c>
      <c r="J124" s="9">
        <v>23263.599999999999</v>
      </c>
      <c r="K124" s="9">
        <f t="shared" si="129"/>
        <v>1988486.8</v>
      </c>
      <c r="L124" s="32" t="s">
        <v>209</v>
      </c>
      <c r="M124" s="9">
        <f>204-3599-77.6</f>
        <v>-3472.6</v>
      </c>
      <c r="N124" s="9">
        <f t="shared" si="130"/>
        <v>1985014.2</v>
      </c>
      <c r="O124" s="32" t="s">
        <v>298</v>
      </c>
    </row>
    <row r="125" spans="1:15" ht="32.25" hidden="1" customHeight="1" outlineLevel="1" x14ac:dyDescent="0.2">
      <c r="A125" s="23"/>
      <c r="B125" s="50" t="s">
        <v>144</v>
      </c>
      <c r="C125" s="25" t="s">
        <v>18</v>
      </c>
      <c r="D125" s="25" t="s">
        <v>12</v>
      </c>
      <c r="E125" s="25" t="s">
        <v>13</v>
      </c>
      <c r="F125" s="9">
        <v>38949</v>
      </c>
      <c r="G125" s="9"/>
      <c r="H125" s="9">
        <f t="shared" si="131"/>
        <v>38949</v>
      </c>
      <c r="I125" s="9"/>
      <c r="J125" s="9"/>
      <c r="K125" s="9">
        <f t="shared" si="129"/>
        <v>38949</v>
      </c>
      <c r="L125" s="32"/>
      <c r="M125" s="9"/>
      <c r="N125" s="9">
        <f t="shared" si="130"/>
        <v>38949</v>
      </c>
      <c r="O125" s="32"/>
    </row>
    <row r="126" spans="1:15" ht="21.75" hidden="1" customHeight="1" outlineLevel="1" x14ac:dyDescent="0.2">
      <c r="A126" s="23"/>
      <c r="B126" s="50" t="s">
        <v>145</v>
      </c>
      <c r="C126" s="25" t="s">
        <v>18</v>
      </c>
      <c r="D126" s="25" t="s">
        <v>12</v>
      </c>
      <c r="E126" s="25" t="s">
        <v>6</v>
      </c>
      <c r="F126" s="9">
        <v>9109.2000000000007</v>
      </c>
      <c r="G126" s="9"/>
      <c r="H126" s="9">
        <f t="shared" si="131"/>
        <v>9109.2000000000007</v>
      </c>
      <c r="I126" s="9"/>
      <c r="J126" s="9"/>
      <c r="K126" s="9">
        <f t="shared" si="129"/>
        <v>9109.2000000000007</v>
      </c>
      <c r="L126" s="32"/>
      <c r="M126" s="9">
        <v>3599</v>
      </c>
      <c r="N126" s="9">
        <f t="shared" si="130"/>
        <v>12708.2</v>
      </c>
      <c r="O126" s="32"/>
    </row>
    <row r="127" spans="1:15" ht="21.75" hidden="1" customHeight="1" outlineLevel="1" x14ac:dyDescent="0.2">
      <c r="A127" s="23"/>
      <c r="B127" s="50" t="s">
        <v>146</v>
      </c>
      <c r="C127" s="25" t="s">
        <v>18</v>
      </c>
      <c r="D127" s="25" t="s">
        <v>12</v>
      </c>
      <c r="E127" s="25" t="s">
        <v>5</v>
      </c>
      <c r="F127" s="9">
        <v>3900</v>
      </c>
      <c r="G127" s="9"/>
      <c r="H127" s="9">
        <f t="shared" si="131"/>
        <v>3900</v>
      </c>
      <c r="I127" s="9"/>
      <c r="J127" s="9"/>
      <c r="K127" s="9">
        <f t="shared" si="129"/>
        <v>3900</v>
      </c>
      <c r="L127" s="32"/>
      <c r="M127" s="9"/>
      <c r="N127" s="9">
        <f t="shared" si="130"/>
        <v>3900</v>
      </c>
      <c r="O127" s="32"/>
    </row>
    <row r="128" spans="1:15" ht="21.75" hidden="1" customHeight="1" outlineLevel="1" x14ac:dyDescent="0.2">
      <c r="A128" s="23"/>
      <c r="B128" s="50" t="s">
        <v>147</v>
      </c>
      <c r="C128" s="25" t="s">
        <v>18</v>
      </c>
      <c r="D128" s="25" t="s">
        <v>12</v>
      </c>
      <c r="E128" s="25" t="s">
        <v>4</v>
      </c>
      <c r="F128" s="9">
        <v>9115.7999999999993</v>
      </c>
      <c r="G128" s="9"/>
      <c r="H128" s="9">
        <f t="shared" si="131"/>
        <v>9115.7999999999993</v>
      </c>
      <c r="I128" s="9"/>
      <c r="J128" s="9"/>
      <c r="K128" s="9">
        <f t="shared" si="129"/>
        <v>9115.7999999999993</v>
      </c>
      <c r="L128" s="32"/>
      <c r="M128" s="9"/>
      <c r="N128" s="9">
        <f t="shared" si="130"/>
        <v>9115.7999999999993</v>
      </c>
      <c r="O128" s="32"/>
    </row>
    <row r="129" spans="1:15" ht="21.75" hidden="1" customHeight="1" outlineLevel="1" x14ac:dyDescent="0.2">
      <c r="A129" s="23"/>
      <c r="B129" s="50" t="s">
        <v>148</v>
      </c>
      <c r="C129" s="25" t="s">
        <v>18</v>
      </c>
      <c r="D129" s="25" t="s">
        <v>12</v>
      </c>
      <c r="E129" s="25" t="s">
        <v>0</v>
      </c>
      <c r="F129" s="9">
        <v>99832.9</v>
      </c>
      <c r="G129" s="9"/>
      <c r="H129" s="9">
        <f t="shared" si="131"/>
        <v>99832.9</v>
      </c>
      <c r="I129" s="9"/>
      <c r="J129" s="9"/>
      <c r="K129" s="9">
        <f t="shared" si="129"/>
        <v>99832.9</v>
      </c>
      <c r="L129" s="32"/>
      <c r="M129" s="9"/>
      <c r="N129" s="9">
        <f t="shared" si="130"/>
        <v>99832.9</v>
      </c>
      <c r="O129" s="32"/>
    </row>
    <row r="130" spans="1:15" s="13" customFormat="1" ht="114.75" customHeight="1" collapsed="1" x14ac:dyDescent="0.2">
      <c r="A130" s="10"/>
      <c r="B130" s="51" t="s">
        <v>149</v>
      </c>
      <c r="C130" s="11" t="s">
        <v>18</v>
      </c>
      <c r="D130" s="11" t="s">
        <v>10</v>
      </c>
      <c r="E130" s="11" t="s">
        <v>3</v>
      </c>
      <c r="F130" s="12">
        <f>SUM(F131)</f>
        <v>15800</v>
      </c>
      <c r="G130" s="12">
        <f t="shared" ref="G130:N130" si="132">SUM(G131)</f>
        <v>0</v>
      </c>
      <c r="H130" s="12">
        <f t="shared" si="132"/>
        <v>15800</v>
      </c>
      <c r="I130" s="12"/>
      <c r="J130" s="12">
        <f t="shared" si="132"/>
        <v>430.6</v>
      </c>
      <c r="K130" s="12">
        <f t="shared" si="132"/>
        <v>16230.6</v>
      </c>
      <c r="L130" s="34" t="s">
        <v>206</v>
      </c>
      <c r="M130" s="12">
        <f t="shared" si="132"/>
        <v>589.70000000000005</v>
      </c>
      <c r="N130" s="12">
        <f t="shared" si="132"/>
        <v>16820.3</v>
      </c>
      <c r="O130" s="34" t="s">
        <v>300</v>
      </c>
    </row>
    <row r="131" spans="1:15" ht="114" hidden="1" customHeight="1" outlineLevel="1" x14ac:dyDescent="0.2">
      <c r="A131" s="23"/>
      <c r="B131" s="50" t="s">
        <v>259</v>
      </c>
      <c r="C131" s="25" t="s">
        <v>18</v>
      </c>
      <c r="D131" s="25" t="s">
        <v>10</v>
      </c>
      <c r="E131" s="25" t="s">
        <v>8</v>
      </c>
      <c r="F131" s="9">
        <v>15800</v>
      </c>
      <c r="G131" s="9"/>
      <c r="H131" s="9">
        <f>SUM(F131:G131)</f>
        <v>15800</v>
      </c>
      <c r="I131" s="9"/>
      <c r="J131" s="9">
        <v>430.6</v>
      </c>
      <c r="K131" s="9">
        <f>SUM(H131,J131)</f>
        <v>16230.6</v>
      </c>
      <c r="L131" s="32" t="s">
        <v>206</v>
      </c>
      <c r="M131" s="9">
        <f>512.1+14.2+63.4</f>
        <v>589.70000000000005</v>
      </c>
      <c r="N131" s="9">
        <f>SUM(K131,M131)</f>
        <v>16820.3</v>
      </c>
      <c r="O131" s="32" t="s">
        <v>299</v>
      </c>
    </row>
    <row r="132" spans="1:15" s="13" customFormat="1" ht="58.5" customHeight="1" collapsed="1" x14ac:dyDescent="0.2">
      <c r="A132" s="10"/>
      <c r="B132" s="51" t="s">
        <v>150</v>
      </c>
      <c r="C132" s="11" t="s">
        <v>18</v>
      </c>
      <c r="D132" s="11" t="s">
        <v>14</v>
      </c>
      <c r="E132" s="11" t="s">
        <v>3</v>
      </c>
      <c r="F132" s="12">
        <f>SUM(F133:F135)</f>
        <v>93446.9</v>
      </c>
      <c r="G132" s="12">
        <f t="shared" ref="G132:H132" si="133">SUM(G133:G135)</f>
        <v>0</v>
      </c>
      <c r="H132" s="12">
        <f t="shared" si="133"/>
        <v>93446.9</v>
      </c>
      <c r="I132" s="12"/>
      <c r="J132" s="12">
        <f t="shared" ref="J132:K132" si="134">SUM(J133:J135)</f>
        <v>17500</v>
      </c>
      <c r="K132" s="12">
        <f t="shared" si="134"/>
        <v>110946.9</v>
      </c>
      <c r="L132" s="34" t="s">
        <v>208</v>
      </c>
      <c r="M132" s="12">
        <f t="shared" ref="M132:N132" si="135">SUM(M133:M135)</f>
        <v>400</v>
      </c>
      <c r="N132" s="12">
        <f t="shared" si="135"/>
        <v>111346.9</v>
      </c>
      <c r="O132" s="34" t="s">
        <v>306</v>
      </c>
    </row>
    <row r="133" spans="1:15" ht="49.5" hidden="1" customHeight="1" outlineLevel="1" x14ac:dyDescent="0.2">
      <c r="A133" s="23"/>
      <c r="B133" s="50" t="s">
        <v>151</v>
      </c>
      <c r="C133" s="25" t="s">
        <v>18</v>
      </c>
      <c r="D133" s="25" t="s">
        <v>14</v>
      </c>
      <c r="E133" s="25" t="s">
        <v>8</v>
      </c>
      <c r="F133" s="9">
        <v>29498.2</v>
      </c>
      <c r="G133" s="9"/>
      <c r="H133" s="9">
        <f>SUM(F133:G133)</f>
        <v>29498.2</v>
      </c>
      <c r="I133" s="9"/>
      <c r="J133" s="9">
        <f>17500</f>
        <v>17500</v>
      </c>
      <c r="K133" s="9">
        <f t="shared" ref="K133:K135" si="136">SUM(H133,J133)</f>
        <v>46998.2</v>
      </c>
      <c r="L133" s="32" t="s">
        <v>208</v>
      </c>
      <c r="M133" s="9"/>
      <c r="N133" s="9">
        <f t="shared" ref="N133:N135" si="137">SUM(K133,M133)</f>
        <v>46998.2</v>
      </c>
      <c r="O133" s="32"/>
    </row>
    <row r="134" spans="1:15" ht="57.75" hidden="1" customHeight="1" outlineLevel="1" x14ac:dyDescent="0.2">
      <c r="A134" s="23"/>
      <c r="B134" s="50" t="s">
        <v>152</v>
      </c>
      <c r="C134" s="25" t="s">
        <v>18</v>
      </c>
      <c r="D134" s="25" t="s">
        <v>14</v>
      </c>
      <c r="E134" s="25" t="s">
        <v>7</v>
      </c>
      <c r="F134" s="9">
        <v>56268.7</v>
      </c>
      <c r="G134" s="9"/>
      <c r="H134" s="9">
        <f t="shared" ref="H134:H135" si="138">SUM(F134:G134)</f>
        <v>56268.7</v>
      </c>
      <c r="I134" s="9"/>
      <c r="J134" s="9"/>
      <c r="K134" s="9">
        <f t="shared" si="136"/>
        <v>56268.7</v>
      </c>
      <c r="L134" s="32"/>
      <c r="M134" s="9">
        <f>400</f>
        <v>400</v>
      </c>
      <c r="N134" s="9">
        <f t="shared" si="137"/>
        <v>56668.7</v>
      </c>
      <c r="O134" s="32" t="s">
        <v>265</v>
      </c>
    </row>
    <row r="135" spans="1:15" ht="21.75" hidden="1" customHeight="1" outlineLevel="1" x14ac:dyDescent="0.2">
      <c r="A135" s="23"/>
      <c r="B135" s="50" t="s">
        <v>153</v>
      </c>
      <c r="C135" s="25" t="s">
        <v>18</v>
      </c>
      <c r="D135" s="25" t="s">
        <v>14</v>
      </c>
      <c r="E135" s="25" t="s">
        <v>13</v>
      </c>
      <c r="F135" s="9">
        <v>7680</v>
      </c>
      <c r="G135" s="9"/>
      <c r="H135" s="9">
        <f t="shared" si="138"/>
        <v>7680</v>
      </c>
      <c r="I135" s="9"/>
      <c r="J135" s="9"/>
      <c r="K135" s="9">
        <f t="shared" si="136"/>
        <v>7680</v>
      </c>
      <c r="L135" s="32"/>
      <c r="M135" s="9"/>
      <c r="N135" s="9">
        <f t="shared" si="137"/>
        <v>7680</v>
      </c>
      <c r="O135" s="32"/>
    </row>
    <row r="136" spans="1:15" s="13" customFormat="1" ht="21.75" customHeight="1" collapsed="1" x14ac:dyDescent="0.2">
      <c r="A136" s="10"/>
      <c r="B136" s="51" t="s">
        <v>154</v>
      </c>
      <c r="C136" s="11" t="s">
        <v>18</v>
      </c>
      <c r="D136" s="11" t="s">
        <v>17</v>
      </c>
      <c r="E136" s="11" t="s">
        <v>3</v>
      </c>
      <c r="F136" s="12">
        <f>SUM(F137)</f>
        <v>25249.200000000001</v>
      </c>
      <c r="G136" s="12">
        <f t="shared" ref="G136:N136" si="139">SUM(G137)</f>
        <v>0</v>
      </c>
      <c r="H136" s="12">
        <f t="shared" si="139"/>
        <v>25249.200000000001</v>
      </c>
      <c r="I136" s="12"/>
      <c r="J136" s="12">
        <f t="shared" si="139"/>
        <v>0</v>
      </c>
      <c r="K136" s="12">
        <f t="shared" si="139"/>
        <v>25249.200000000001</v>
      </c>
      <c r="L136" s="34"/>
      <c r="M136" s="12">
        <f t="shared" si="139"/>
        <v>0</v>
      </c>
      <c r="N136" s="12">
        <f t="shared" si="139"/>
        <v>25249.200000000001</v>
      </c>
      <c r="O136" s="34"/>
    </row>
    <row r="137" spans="1:15" ht="21.75" hidden="1" customHeight="1" outlineLevel="1" x14ac:dyDescent="0.2">
      <c r="A137" s="23"/>
      <c r="B137" s="50" t="s">
        <v>155</v>
      </c>
      <c r="C137" s="25" t="s">
        <v>18</v>
      </c>
      <c r="D137" s="25" t="s">
        <v>17</v>
      </c>
      <c r="E137" s="25" t="s">
        <v>8</v>
      </c>
      <c r="F137" s="9">
        <v>25249.200000000001</v>
      </c>
      <c r="G137" s="9"/>
      <c r="H137" s="9">
        <f>SUM(F137:G137)</f>
        <v>25249.200000000001</v>
      </c>
      <c r="I137" s="9"/>
      <c r="J137" s="9"/>
      <c r="K137" s="9">
        <f>SUM(H137,J137)</f>
        <v>25249.200000000001</v>
      </c>
      <c r="L137" s="32"/>
      <c r="M137" s="9"/>
      <c r="N137" s="9">
        <f>SUM(K137,M137)</f>
        <v>25249.200000000001</v>
      </c>
      <c r="O137" s="32"/>
    </row>
    <row r="138" spans="1:15" s="30" customFormat="1" ht="45" customHeight="1" collapsed="1" x14ac:dyDescent="0.2">
      <c r="A138" s="27"/>
      <c r="B138" s="49" t="s">
        <v>156</v>
      </c>
      <c r="C138" s="28" t="s">
        <v>16</v>
      </c>
      <c r="D138" s="28" t="s">
        <v>3</v>
      </c>
      <c r="E138" s="28" t="s">
        <v>3</v>
      </c>
      <c r="F138" s="29">
        <f>SUM(F139)</f>
        <v>1151.0999999999999</v>
      </c>
      <c r="G138" s="29">
        <f t="shared" ref="G138:N138" si="140">SUM(G139)</f>
        <v>0</v>
      </c>
      <c r="H138" s="29">
        <f t="shared" si="140"/>
        <v>1151.0999999999999</v>
      </c>
      <c r="I138" s="29"/>
      <c r="J138" s="29">
        <f t="shared" si="140"/>
        <v>11.7</v>
      </c>
      <c r="K138" s="29">
        <f t="shared" si="140"/>
        <v>1162.8</v>
      </c>
      <c r="L138" s="38" t="s">
        <v>233</v>
      </c>
      <c r="M138" s="29">
        <f t="shared" si="140"/>
        <v>0</v>
      </c>
      <c r="N138" s="29">
        <f t="shared" si="140"/>
        <v>1162.8</v>
      </c>
      <c r="O138" s="38"/>
    </row>
    <row r="139" spans="1:15" ht="56.25" hidden="1" customHeight="1" outlineLevel="1" x14ac:dyDescent="0.2">
      <c r="A139" s="23"/>
      <c r="B139" s="50" t="s">
        <v>157</v>
      </c>
      <c r="C139" s="25" t="s">
        <v>16</v>
      </c>
      <c r="D139" s="25" t="s">
        <v>1</v>
      </c>
      <c r="E139" s="25" t="s">
        <v>8</v>
      </c>
      <c r="F139" s="9">
        <v>1151.0999999999999</v>
      </c>
      <c r="G139" s="9"/>
      <c r="H139" s="9">
        <f>SUM(F139:G139)</f>
        <v>1151.0999999999999</v>
      </c>
      <c r="I139" s="9"/>
      <c r="J139" s="9">
        <f>11.7</f>
        <v>11.7</v>
      </c>
      <c r="K139" s="9">
        <f>SUM(H139,J139)</f>
        <v>1162.8</v>
      </c>
      <c r="L139" s="32" t="s">
        <v>226</v>
      </c>
      <c r="M139" s="9"/>
      <c r="N139" s="9">
        <f>SUM(K139,M139)</f>
        <v>1162.8</v>
      </c>
      <c r="O139" s="32"/>
    </row>
    <row r="140" spans="1:15" s="30" customFormat="1" ht="12.75" customHeight="1" collapsed="1" x14ac:dyDescent="0.2">
      <c r="A140" s="27"/>
      <c r="B140" s="49" t="s">
        <v>158</v>
      </c>
      <c r="C140" s="28" t="s">
        <v>15</v>
      </c>
      <c r="D140" s="28" t="s">
        <v>3</v>
      </c>
      <c r="E140" s="28" t="s">
        <v>3</v>
      </c>
      <c r="F140" s="29">
        <f>SUM(F141,F145,F147)</f>
        <v>486009.5</v>
      </c>
      <c r="G140" s="29">
        <f t="shared" ref="G140:H140" si="141">SUM(G141,G145,G147)</f>
        <v>367.3</v>
      </c>
      <c r="H140" s="29">
        <f t="shared" si="141"/>
        <v>486376.80000000005</v>
      </c>
      <c r="I140" s="29"/>
      <c r="J140" s="29">
        <f t="shared" ref="J140:K140" si="142">SUM(J141,J145,J147)</f>
        <v>36.699999999999989</v>
      </c>
      <c r="K140" s="29">
        <f t="shared" si="142"/>
        <v>486413.5</v>
      </c>
      <c r="L140" s="42"/>
      <c r="M140" s="29">
        <f t="shared" ref="M140:N140" si="143">SUM(M141,M145,M147)</f>
        <v>-6.2</v>
      </c>
      <c r="N140" s="29">
        <f t="shared" si="143"/>
        <v>486407.29999999993</v>
      </c>
      <c r="O140" s="42"/>
    </row>
    <row r="141" spans="1:15" s="13" customFormat="1" ht="33.75" customHeight="1" x14ac:dyDescent="0.2">
      <c r="A141" s="10"/>
      <c r="B141" s="51" t="s">
        <v>159</v>
      </c>
      <c r="C141" s="11" t="s">
        <v>15</v>
      </c>
      <c r="D141" s="11" t="s">
        <v>12</v>
      </c>
      <c r="E141" s="11" t="s">
        <v>3</v>
      </c>
      <c r="F141" s="12">
        <f>SUM(F142:F144)</f>
        <v>229512</v>
      </c>
      <c r="G141" s="12">
        <f t="shared" ref="G141:H141" si="144">SUM(G142:G144)</f>
        <v>367.3</v>
      </c>
      <c r="H141" s="12">
        <f t="shared" si="144"/>
        <v>229879.3</v>
      </c>
      <c r="I141" s="34" t="s">
        <v>180</v>
      </c>
      <c r="J141" s="12">
        <f t="shared" ref="J141:K141" si="145">SUM(J142:J144)</f>
        <v>0</v>
      </c>
      <c r="K141" s="12">
        <f t="shared" si="145"/>
        <v>229879.3</v>
      </c>
      <c r="L141" s="34"/>
      <c r="M141" s="12">
        <f t="shared" ref="M141:N141" si="146">SUM(M142:M144)</f>
        <v>-6.2</v>
      </c>
      <c r="N141" s="12">
        <f t="shared" si="146"/>
        <v>229873.09999999998</v>
      </c>
      <c r="O141" s="34" t="s">
        <v>271</v>
      </c>
    </row>
    <row r="142" spans="1:15" ht="41.25" hidden="1" customHeight="1" outlineLevel="1" x14ac:dyDescent="0.2">
      <c r="A142" s="23"/>
      <c r="B142" s="50" t="s">
        <v>160</v>
      </c>
      <c r="C142" s="25" t="s">
        <v>15</v>
      </c>
      <c r="D142" s="25" t="s">
        <v>12</v>
      </c>
      <c r="E142" s="25" t="s">
        <v>8</v>
      </c>
      <c r="F142" s="9">
        <v>193769.9</v>
      </c>
      <c r="G142" s="9"/>
      <c r="H142" s="9">
        <f>SUM(F142:G142)</f>
        <v>193769.9</v>
      </c>
      <c r="I142" s="9"/>
      <c r="J142" s="9"/>
      <c r="K142" s="9">
        <f t="shared" ref="K142:K144" si="147">SUM(H142,J142)</f>
        <v>193769.9</v>
      </c>
      <c r="L142" s="32"/>
      <c r="M142" s="9">
        <v>-6.2</v>
      </c>
      <c r="N142" s="9">
        <f t="shared" ref="N142:N144" si="148">SUM(K142,M142)</f>
        <v>193763.69999999998</v>
      </c>
      <c r="O142" s="59" t="s">
        <v>271</v>
      </c>
    </row>
    <row r="143" spans="1:15" ht="33.75" hidden="1" customHeight="1" outlineLevel="1" x14ac:dyDescent="0.2">
      <c r="A143" s="23"/>
      <c r="B143" s="50" t="s">
        <v>161</v>
      </c>
      <c r="C143" s="25" t="s">
        <v>15</v>
      </c>
      <c r="D143" s="25" t="s">
        <v>12</v>
      </c>
      <c r="E143" s="25" t="s">
        <v>7</v>
      </c>
      <c r="F143" s="9">
        <v>34242.1</v>
      </c>
      <c r="G143" s="9">
        <f>367.3</f>
        <v>367.3</v>
      </c>
      <c r="H143" s="9">
        <f t="shared" ref="H143:H144" si="149">SUM(F143:G143)</f>
        <v>34609.4</v>
      </c>
      <c r="I143" s="31" t="s">
        <v>180</v>
      </c>
      <c r="J143" s="9"/>
      <c r="K143" s="9">
        <f t="shared" si="147"/>
        <v>34609.4</v>
      </c>
      <c r="L143" s="31"/>
      <c r="M143" s="9"/>
      <c r="N143" s="9">
        <f t="shared" si="148"/>
        <v>34609.4</v>
      </c>
      <c r="O143" s="31"/>
    </row>
    <row r="144" spans="1:15" ht="12.75" hidden="1" customHeight="1" outlineLevel="1" x14ac:dyDescent="0.2">
      <c r="A144" s="23"/>
      <c r="B144" s="50" t="s">
        <v>162</v>
      </c>
      <c r="C144" s="25" t="s">
        <v>15</v>
      </c>
      <c r="D144" s="25" t="s">
        <v>12</v>
      </c>
      <c r="E144" s="25" t="s">
        <v>13</v>
      </c>
      <c r="F144" s="9">
        <v>1500</v>
      </c>
      <c r="G144" s="9"/>
      <c r="H144" s="9">
        <f t="shared" si="149"/>
        <v>1500</v>
      </c>
      <c r="I144" s="9"/>
      <c r="J144" s="9"/>
      <c r="K144" s="9">
        <f t="shared" si="147"/>
        <v>1500</v>
      </c>
      <c r="L144" s="32"/>
      <c r="M144" s="9"/>
      <c r="N144" s="9">
        <f t="shared" si="148"/>
        <v>1500</v>
      </c>
      <c r="O144" s="32"/>
    </row>
    <row r="145" spans="1:15" s="13" customFormat="1" ht="36.75" customHeight="1" collapsed="1" x14ac:dyDescent="0.2">
      <c r="A145" s="10"/>
      <c r="B145" s="51" t="s">
        <v>163</v>
      </c>
      <c r="C145" s="11" t="s">
        <v>15</v>
      </c>
      <c r="D145" s="11" t="s">
        <v>10</v>
      </c>
      <c r="E145" s="11" t="s">
        <v>3</v>
      </c>
      <c r="F145" s="12">
        <f>SUM(F146)</f>
        <v>43173.9</v>
      </c>
      <c r="G145" s="12">
        <f t="shared" ref="G145:N145" si="150">SUM(G146)</f>
        <v>0</v>
      </c>
      <c r="H145" s="12">
        <f t="shared" si="150"/>
        <v>43173.9</v>
      </c>
      <c r="I145" s="12"/>
      <c r="J145" s="12">
        <f t="shared" si="150"/>
        <v>406.7</v>
      </c>
      <c r="K145" s="12">
        <f t="shared" si="150"/>
        <v>43580.6</v>
      </c>
      <c r="L145" s="34" t="s">
        <v>214</v>
      </c>
      <c r="M145" s="12">
        <f t="shared" si="150"/>
        <v>0</v>
      </c>
      <c r="N145" s="12">
        <f t="shared" si="150"/>
        <v>43580.6</v>
      </c>
      <c r="O145" s="34"/>
    </row>
    <row r="146" spans="1:15" ht="21.75" hidden="1" customHeight="1" outlineLevel="1" x14ac:dyDescent="0.2">
      <c r="A146" s="23"/>
      <c r="B146" s="50" t="s">
        <v>164</v>
      </c>
      <c r="C146" s="25" t="s">
        <v>15</v>
      </c>
      <c r="D146" s="25" t="s">
        <v>10</v>
      </c>
      <c r="E146" s="25" t="s">
        <v>8</v>
      </c>
      <c r="F146" s="9">
        <v>43173.9</v>
      </c>
      <c r="G146" s="9"/>
      <c r="H146" s="9">
        <f>SUM(F146:G146)</f>
        <v>43173.9</v>
      </c>
      <c r="I146" s="9"/>
      <c r="J146" s="9">
        <f>406.7</f>
        <v>406.7</v>
      </c>
      <c r="K146" s="9">
        <f>SUM(H146,J146)</f>
        <v>43580.6</v>
      </c>
      <c r="L146" s="32" t="s">
        <v>214</v>
      </c>
      <c r="M146" s="9"/>
      <c r="N146" s="9">
        <f>SUM(K146,M146)</f>
        <v>43580.6</v>
      </c>
      <c r="O146" s="32"/>
    </row>
    <row r="147" spans="1:15" s="13" customFormat="1" ht="21.75" customHeight="1" collapsed="1" x14ac:dyDescent="0.2">
      <c r="A147" s="10"/>
      <c r="B147" s="51" t="s">
        <v>165</v>
      </c>
      <c r="C147" s="11" t="s">
        <v>15</v>
      </c>
      <c r="D147" s="11" t="s">
        <v>14</v>
      </c>
      <c r="E147" s="11" t="s">
        <v>3</v>
      </c>
      <c r="F147" s="12">
        <f>SUM(F148:F150)</f>
        <v>213323.6</v>
      </c>
      <c r="G147" s="12">
        <f t="shared" ref="G147:H147" si="151">SUM(G148:G150)</f>
        <v>0</v>
      </c>
      <c r="H147" s="12">
        <f t="shared" si="151"/>
        <v>213323.6</v>
      </c>
      <c r="I147" s="12"/>
      <c r="J147" s="12">
        <f t="shared" ref="J147:K147" si="152">SUM(J148:J150)</f>
        <v>-370</v>
      </c>
      <c r="K147" s="12">
        <f t="shared" si="152"/>
        <v>212953.60000000001</v>
      </c>
      <c r="L147" s="34" t="s">
        <v>231</v>
      </c>
      <c r="M147" s="12">
        <f t="shared" ref="M147:N147" si="153">SUM(M148:M150)</f>
        <v>0</v>
      </c>
      <c r="N147" s="12">
        <f t="shared" si="153"/>
        <v>212953.60000000001</v>
      </c>
      <c r="O147" s="34"/>
    </row>
    <row r="148" spans="1:15" ht="22.5" hidden="1" customHeight="1" outlineLevel="1" x14ac:dyDescent="0.2">
      <c r="A148" s="23"/>
      <c r="B148" s="50" t="s">
        <v>166</v>
      </c>
      <c r="C148" s="25" t="s">
        <v>15</v>
      </c>
      <c r="D148" s="25" t="s">
        <v>14</v>
      </c>
      <c r="E148" s="25" t="s">
        <v>8</v>
      </c>
      <c r="F148" s="9">
        <v>116546.8</v>
      </c>
      <c r="G148" s="9"/>
      <c r="H148" s="9">
        <f>SUM(F148:G148)</f>
        <v>116546.8</v>
      </c>
      <c r="I148" s="9"/>
      <c r="J148" s="9">
        <v>-370</v>
      </c>
      <c r="K148" s="9">
        <f t="shared" ref="K148:K150" si="154">SUM(H148,J148)</f>
        <v>116176.8</v>
      </c>
      <c r="L148" s="32" t="s">
        <v>204</v>
      </c>
      <c r="M148" s="9"/>
      <c r="N148" s="9">
        <f t="shared" ref="N148:N150" si="155">SUM(K148,M148)</f>
        <v>116176.8</v>
      </c>
      <c r="O148" s="32"/>
    </row>
    <row r="149" spans="1:15" ht="61.5" hidden="1" customHeight="1" outlineLevel="1" x14ac:dyDescent="0.2">
      <c r="A149" s="23"/>
      <c r="B149" s="50" t="s">
        <v>167</v>
      </c>
      <c r="C149" s="25" t="s">
        <v>15</v>
      </c>
      <c r="D149" s="25" t="s">
        <v>14</v>
      </c>
      <c r="E149" s="25" t="s">
        <v>7</v>
      </c>
      <c r="F149" s="9">
        <v>48889.2</v>
      </c>
      <c r="G149" s="9"/>
      <c r="H149" s="9">
        <f t="shared" ref="H149:H150" si="156">SUM(F149:G149)</f>
        <v>48889.2</v>
      </c>
      <c r="I149" s="9"/>
      <c r="J149" s="9"/>
      <c r="K149" s="9">
        <f t="shared" si="154"/>
        <v>48889.2</v>
      </c>
      <c r="L149" s="32"/>
      <c r="M149" s="9"/>
      <c r="N149" s="9">
        <f t="shared" si="155"/>
        <v>48889.2</v>
      </c>
      <c r="O149" s="32"/>
    </row>
    <row r="150" spans="1:15" ht="21.75" hidden="1" customHeight="1" outlineLevel="1" x14ac:dyDescent="0.2">
      <c r="A150" s="23"/>
      <c r="B150" s="50" t="s">
        <v>168</v>
      </c>
      <c r="C150" s="25" t="s">
        <v>15</v>
      </c>
      <c r="D150" s="25" t="s">
        <v>14</v>
      </c>
      <c r="E150" s="25" t="s">
        <v>13</v>
      </c>
      <c r="F150" s="9">
        <v>47887.6</v>
      </c>
      <c r="G150" s="9"/>
      <c r="H150" s="9">
        <f t="shared" si="156"/>
        <v>47887.6</v>
      </c>
      <c r="I150" s="9"/>
      <c r="J150" s="9"/>
      <c r="K150" s="9">
        <f t="shared" si="154"/>
        <v>47887.6</v>
      </c>
      <c r="L150" s="32"/>
      <c r="M150" s="9"/>
      <c r="N150" s="9">
        <f t="shared" si="155"/>
        <v>47887.6</v>
      </c>
      <c r="O150" s="32"/>
    </row>
    <row r="151" spans="1:15" s="30" customFormat="1" ht="21.75" customHeight="1" collapsed="1" x14ac:dyDescent="0.2">
      <c r="A151" s="27"/>
      <c r="B151" s="49" t="s">
        <v>169</v>
      </c>
      <c r="C151" s="28" t="s">
        <v>11</v>
      </c>
      <c r="D151" s="28" t="s">
        <v>3</v>
      </c>
      <c r="E151" s="28" t="s">
        <v>3</v>
      </c>
      <c r="F151" s="29">
        <f>SUM(F152,F155)</f>
        <v>15940</v>
      </c>
      <c r="G151" s="29">
        <f>SUM(G152,G155)</f>
        <v>7360.4</v>
      </c>
      <c r="H151" s="29">
        <f>SUM(H152,H155)</f>
        <v>23300.400000000001</v>
      </c>
      <c r="I151" s="29"/>
      <c r="J151" s="29">
        <f>SUM(J152,J155)</f>
        <v>797</v>
      </c>
      <c r="K151" s="29">
        <f>SUM(K152,K155)</f>
        <v>24097.4</v>
      </c>
      <c r="L151" s="42"/>
      <c r="M151" s="29">
        <f>SUM(M152,M155)</f>
        <v>5565.6</v>
      </c>
      <c r="N151" s="29">
        <f>SUM(N152,N155)</f>
        <v>29663</v>
      </c>
      <c r="O151" s="42"/>
    </row>
    <row r="152" spans="1:15" s="13" customFormat="1" ht="96.75" customHeight="1" x14ac:dyDescent="0.2">
      <c r="A152" s="10"/>
      <c r="B152" s="51" t="s">
        <v>170</v>
      </c>
      <c r="C152" s="11" t="s">
        <v>11</v>
      </c>
      <c r="D152" s="11" t="s">
        <v>12</v>
      </c>
      <c r="E152" s="11" t="s">
        <v>3</v>
      </c>
      <c r="F152" s="12">
        <f>SUM(F153:F154)</f>
        <v>7470</v>
      </c>
      <c r="G152" s="12">
        <f t="shared" ref="G152:N152" si="157">SUM(G153:G154)</f>
        <v>2258.1</v>
      </c>
      <c r="H152" s="12">
        <f t="shared" si="157"/>
        <v>9728.1</v>
      </c>
      <c r="I152" s="12">
        <f t="shared" si="157"/>
        <v>0</v>
      </c>
      <c r="J152" s="12">
        <f t="shared" si="157"/>
        <v>398.5</v>
      </c>
      <c r="K152" s="12">
        <f t="shared" si="157"/>
        <v>10126.6</v>
      </c>
      <c r="L152" s="12">
        <f t="shared" si="157"/>
        <v>0</v>
      </c>
      <c r="M152" s="12">
        <f t="shared" si="157"/>
        <v>-10035.5</v>
      </c>
      <c r="N152" s="12">
        <f t="shared" si="157"/>
        <v>91.1</v>
      </c>
      <c r="O152" s="34" t="s">
        <v>305</v>
      </c>
    </row>
    <row r="153" spans="1:15" ht="49.5" hidden="1" customHeight="1" outlineLevel="1" x14ac:dyDescent="0.2">
      <c r="A153" s="23"/>
      <c r="B153" s="50" t="s">
        <v>272</v>
      </c>
      <c r="C153" s="25" t="s">
        <v>11</v>
      </c>
      <c r="D153" s="25" t="s">
        <v>12</v>
      </c>
      <c r="E153" s="25" t="s">
        <v>8</v>
      </c>
      <c r="F153" s="9">
        <v>0</v>
      </c>
      <c r="G153" s="9"/>
      <c r="H153" s="9">
        <v>0</v>
      </c>
      <c r="I153" s="32"/>
      <c r="J153" s="9"/>
      <c r="K153" s="9">
        <f>SUM(H153,J153)</f>
        <v>0</v>
      </c>
      <c r="L153" s="32"/>
      <c r="M153" s="9">
        <f>91.1</f>
        <v>91.1</v>
      </c>
      <c r="N153" s="9">
        <f>SUM(K153,M153)</f>
        <v>91.1</v>
      </c>
      <c r="O153" s="32" t="s">
        <v>273</v>
      </c>
    </row>
    <row r="154" spans="1:15" ht="45" hidden="1" customHeight="1" outlineLevel="1" x14ac:dyDescent="0.2">
      <c r="A154" s="23"/>
      <c r="B154" s="50" t="s">
        <v>274</v>
      </c>
      <c r="C154" s="25" t="s">
        <v>11</v>
      </c>
      <c r="D154" s="25" t="s">
        <v>12</v>
      </c>
      <c r="E154" s="25" t="s">
        <v>9</v>
      </c>
      <c r="F154" s="9">
        <v>7470</v>
      </c>
      <c r="G154" s="9">
        <f>3357-1098.9</f>
        <v>2258.1</v>
      </c>
      <c r="H154" s="9">
        <f>SUM(F154:G154)</f>
        <v>9728.1</v>
      </c>
      <c r="I154" s="32" t="s">
        <v>191</v>
      </c>
      <c r="J154" s="9">
        <v>398.5</v>
      </c>
      <c r="K154" s="9">
        <f>SUM(H154,J154)</f>
        <v>10126.6</v>
      </c>
      <c r="L154" s="32" t="s">
        <v>212</v>
      </c>
      <c r="M154" s="9">
        <f>-3357-5250.6-1519</f>
        <v>-10126.6</v>
      </c>
      <c r="N154" s="9">
        <f>SUM(K154,M154)</f>
        <v>0</v>
      </c>
      <c r="O154" s="32" t="s">
        <v>250</v>
      </c>
    </row>
    <row r="155" spans="1:15" s="13" customFormat="1" ht="168.75" customHeight="1" collapsed="1" x14ac:dyDescent="0.2">
      <c r="A155" s="10"/>
      <c r="B155" s="51" t="s">
        <v>171</v>
      </c>
      <c r="C155" s="11" t="s">
        <v>11</v>
      </c>
      <c r="D155" s="11" t="s">
        <v>10</v>
      </c>
      <c r="E155" s="11" t="s">
        <v>3</v>
      </c>
      <c r="F155" s="12">
        <f>SUM(F156:F157)</f>
        <v>8470</v>
      </c>
      <c r="G155" s="12">
        <f t="shared" ref="G155:H155" si="158">SUM(G156:G157)</f>
        <v>5102.3</v>
      </c>
      <c r="H155" s="12">
        <f t="shared" si="158"/>
        <v>13572.3</v>
      </c>
      <c r="I155" s="35" t="s">
        <v>260</v>
      </c>
      <c r="J155" s="12">
        <f t="shared" ref="J155:K155" si="159">SUM(J156:J157)</f>
        <v>398.5</v>
      </c>
      <c r="K155" s="12">
        <f t="shared" si="159"/>
        <v>13970.8</v>
      </c>
      <c r="L155" s="35" t="s">
        <v>213</v>
      </c>
      <c r="M155" s="12">
        <f t="shared" ref="M155:N155" si="160">SUM(M156:M157)</f>
        <v>15601.1</v>
      </c>
      <c r="N155" s="12">
        <f t="shared" si="160"/>
        <v>29571.9</v>
      </c>
      <c r="O155" s="35" t="s">
        <v>310</v>
      </c>
    </row>
    <row r="156" spans="1:15" ht="162.75" hidden="1" customHeight="1" outlineLevel="1" x14ac:dyDescent="0.2">
      <c r="A156" s="23"/>
      <c r="B156" s="50" t="s">
        <v>172</v>
      </c>
      <c r="C156" s="25" t="s">
        <v>11</v>
      </c>
      <c r="D156" s="25" t="s">
        <v>10</v>
      </c>
      <c r="E156" s="25" t="s">
        <v>8</v>
      </c>
      <c r="F156" s="9">
        <v>1000</v>
      </c>
      <c r="G156" s="9">
        <f>2350+494.3</f>
        <v>2844.3</v>
      </c>
      <c r="H156" s="9">
        <f>SUM(F156:G156)</f>
        <v>3844.3</v>
      </c>
      <c r="I156" s="32" t="s">
        <v>194</v>
      </c>
      <c r="J156" s="9"/>
      <c r="K156" s="9">
        <f t="shared" ref="K156:K157" si="161">SUM(H156,J156)</f>
        <v>3844.3</v>
      </c>
      <c r="L156" s="32"/>
      <c r="M156" s="9">
        <f>-64.2+1500+193-494.3+176.1-659.3</f>
        <v>651.29999999999995</v>
      </c>
      <c r="N156" s="9">
        <f t="shared" ref="N156:N157" si="162">SUM(K156,M156)</f>
        <v>4495.6000000000004</v>
      </c>
      <c r="O156" s="32" t="s">
        <v>294</v>
      </c>
    </row>
    <row r="157" spans="1:15" ht="67.5" hidden="1" outlineLevel="1" x14ac:dyDescent="0.2">
      <c r="A157" s="23"/>
      <c r="B157" s="50" t="s">
        <v>274</v>
      </c>
      <c r="C157" s="25" t="s">
        <v>11</v>
      </c>
      <c r="D157" s="25" t="s">
        <v>10</v>
      </c>
      <c r="E157" s="25" t="s">
        <v>9</v>
      </c>
      <c r="F157" s="9">
        <v>7470</v>
      </c>
      <c r="G157" s="9">
        <f>3356.9-1098.9</f>
        <v>2258</v>
      </c>
      <c r="H157" s="9">
        <f>SUM(F157:G157)</f>
        <v>9728</v>
      </c>
      <c r="I157" s="32" t="s">
        <v>192</v>
      </c>
      <c r="J157" s="9">
        <v>398.5</v>
      </c>
      <c r="K157" s="9">
        <f t="shared" si="161"/>
        <v>10126.5</v>
      </c>
      <c r="L157" s="32" t="s">
        <v>213</v>
      </c>
      <c r="M157" s="9">
        <f>221.9+141.9+3357+5250.6+1583.2+3735.9+659.3</f>
        <v>14949.800000000001</v>
      </c>
      <c r="N157" s="9">
        <f t="shared" si="162"/>
        <v>25076.300000000003</v>
      </c>
      <c r="O157" s="32" t="s">
        <v>293</v>
      </c>
    </row>
    <row r="158" spans="1:15" s="30" customFormat="1" ht="12.75" customHeight="1" collapsed="1" x14ac:dyDescent="0.2">
      <c r="A158" s="27"/>
      <c r="B158" s="49" t="s">
        <v>173</v>
      </c>
      <c r="C158" s="28" t="s">
        <v>2</v>
      </c>
      <c r="D158" s="28" t="s">
        <v>3</v>
      </c>
      <c r="E158" s="28" t="s">
        <v>3</v>
      </c>
      <c r="F158" s="29">
        <f>SUM(F159:F164)</f>
        <v>95189.7</v>
      </c>
      <c r="G158" s="29">
        <f t="shared" ref="G158:H158" si="163">SUM(G159:G164)</f>
        <v>0</v>
      </c>
      <c r="H158" s="29">
        <f t="shared" si="163"/>
        <v>95189.7</v>
      </c>
      <c r="I158" s="29"/>
      <c r="J158" s="29">
        <f t="shared" ref="J158:K158" si="164">SUM(J159:J164)</f>
        <v>2513</v>
      </c>
      <c r="K158" s="29">
        <f t="shared" si="164"/>
        <v>97702.7</v>
      </c>
      <c r="L158" s="42"/>
      <c r="M158" s="29">
        <f>SUM(M159:M164)</f>
        <v>2.7999999999999972</v>
      </c>
      <c r="N158" s="29">
        <f t="shared" ref="N158" si="165">SUM(N159:N164)</f>
        <v>97705.5</v>
      </c>
      <c r="O158" s="42"/>
    </row>
    <row r="159" spans="1:15" ht="28.5" customHeight="1" x14ac:dyDescent="0.2">
      <c r="A159" s="23"/>
      <c r="B159" s="50" t="s">
        <v>174</v>
      </c>
      <c r="C159" s="25" t="s">
        <v>2</v>
      </c>
      <c r="D159" s="25" t="s">
        <v>1</v>
      </c>
      <c r="E159" s="25" t="s">
        <v>8</v>
      </c>
      <c r="F159" s="9">
        <v>20348.099999999999</v>
      </c>
      <c r="G159" s="9"/>
      <c r="H159" s="9">
        <f>SUM(F159:G159)</f>
        <v>20348.099999999999</v>
      </c>
      <c r="I159" s="9"/>
      <c r="J159" s="9">
        <v>-60</v>
      </c>
      <c r="K159" s="9">
        <f t="shared" ref="K159:K164" si="166">SUM(H159,J159)</f>
        <v>20288.099999999999</v>
      </c>
      <c r="L159" s="32" t="s">
        <v>234</v>
      </c>
      <c r="M159" s="9"/>
      <c r="N159" s="9">
        <f t="shared" ref="N159:N164" si="167">SUM(K159,M159)</f>
        <v>20288.099999999999</v>
      </c>
      <c r="O159" s="32"/>
    </row>
    <row r="160" spans="1:15" ht="21" customHeight="1" x14ac:dyDescent="0.2">
      <c r="A160" s="23"/>
      <c r="B160" s="50" t="s">
        <v>175</v>
      </c>
      <c r="C160" s="25" t="s">
        <v>2</v>
      </c>
      <c r="D160" s="25" t="s">
        <v>1</v>
      </c>
      <c r="E160" s="25" t="s">
        <v>7</v>
      </c>
      <c r="F160" s="9">
        <v>12159</v>
      </c>
      <c r="G160" s="9"/>
      <c r="H160" s="9">
        <f t="shared" ref="H160:H164" si="168">SUM(F160:G160)</f>
        <v>12159</v>
      </c>
      <c r="I160" s="9"/>
      <c r="J160" s="9"/>
      <c r="K160" s="9">
        <f t="shared" si="166"/>
        <v>12159</v>
      </c>
      <c r="L160" s="32"/>
      <c r="M160" s="9"/>
      <c r="N160" s="9">
        <f t="shared" si="167"/>
        <v>12159</v>
      </c>
      <c r="O160" s="32"/>
    </row>
    <row r="161" spans="1:15" ht="22.5" customHeight="1" x14ac:dyDescent="0.2">
      <c r="A161" s="23"/>
      <c r="B161" s="50" t="s">
        <v>176</v>
      </c>
      <c r="C161" s="25" t="s">
        <v>2</v>
      </c>
      <c r="D161" s="25" t="s">
        <v>1</v>
      </c>
      <c r="E161" s="25" t="s">
        <v>6</v>
      </c>
      <c r="F161" s="9">
        <v>2000</v>
      </c>
      <c r="G161" s="9">
        <v>-14.5</v>
      </c>
      <c r="H161" s="9">
        <f t="shared" si="168"/>
        <v>1985.5</v>
      </c>
      <c r="I161" s="32" t="s">
        <v>184</v>
      </c>
      <c r="J161" s="9"/>
      <c r="K161" s="9">
        <f t="shared" si="166"/>
        <v>1985.5</v>
      </c>
      <c r="L161" s="32"/>
      <c r="M161" s="9">
        <v>-64.8</v>
      </c>
      <c r="N161" s="9">
        <f t="shared" si="167"/>
        <v>1920.7</v>
      </c>
      <c r="O161" s="32" t="s">
        <v>282</v>
      </c>
    </row>
    <row r="162" spans="1:15" ht="109.5" customHeight="1" x14ac:dyDescent="0.2">
      <c r="A162" s="23"/>
      <c r="B162" s="50" t="s">
        <v>177</v>
      </c>
      <c r="C162" s="25" t="s">
        <v>2</v>
      </c>
      <c r="D162" s="25" t="s">
        <v>1</v>
      </c>
      <c r="E162" s="25" t="s">
        <v>5</v>
      </c>
      <c r="F162" s="9">
        <v>8180</v>
      </c>
      <c r="G162" s="9">
        <v>14.5</v>
      </c>
      <c r="H162" s="9">
        <f t="shared" si="168"/>
        <v>8194.5</v>
      </c>
      <c r="I162" s="32" t="s">
        <v>195</v>
      </c>
      <c r="J162" s="9">
        <f>919.1+780.9</f>
        <v>1700</v>
      </c>
      <c r="K162" s="9">
        <f t="shared" si="166"/>
        <v>9894.5</v>
      </c>
      <c r="L162" s="32" t="s">
        <v>230</v>
      </c>
      <c r="M162" s="9">
        <f>64.8+2.8</f>
        <v>67.599999999999994</v>
      </c>
      <c r="N162" s="9">
        <f t="shared" si="167"/>
        <v>9962.1</v>
      </c>
      <c r="O162" s="32" t="s">
        <v>284</v>
      </c>
    </row>
    <row r="163" spans="1:15" ht="45.75" customHeight="1" x14ac:dyDescent="0.2">
      <c r="A163" s="23"/>
      <c r="B163" s="50" t="s">
        <v>161</v>
      </c>
      <c r="C163" s="25" t="s">
        <v>2</v>
      </c>
      <c r="D163" s="25" t="s">
        <v>1</v>
      </c>
      <c r="E163" s="25" t="s">
        <v>280</v>
      </c>
      <c r="F163" s="9">
        <v>52502.6</v>
      </c>
      <c r="G163" s="9"/>
      <c r="H163" s="9">
        <f t="shared" si="168"/>
        <v>52502.6</v>
      </c>
      <c r="I163" s="9"/>
      <c r="J163" s="9">
        <f>8.6+164.4+700</f>
        <v>873</v>
      </c>
      <c r="K163" s="9">
        <f t="shared" si="166"/>
        <v>53375.6</v>
      </c>
      <c r="L163" s="32" t="s">
        <v>235</v>
      </c>
      <c r="M163" s="9"/>
      <c r="N163" s="9">
        <f t="shared" si="167"/>
        <v>53375.6</v>
      </c>
      <c r="O163" s="32"/>
    </row>
    <row r="164" spans="1:15" ht="21.75" customHeight="1" x14ac:dyDescent="0.2">
      <c r="A164" s="23"/>
      <c r="B164" s="50" t="s">
        <v>178</v>
      </c>
      <c r="C164" s="25" t="s">
        <v>2</v>
      </c>
      <c r="D164" s="25" t="s">
        <v>1</v>
      </c>
      <c r="E164" s="25" t="s">
        <v>0</v>
      </c>
      <c r="F164" s="9">
        <v>0</v>
      </c>
      <c r="G164" s="9"/>
      <c r="H164" s="9">
        <f t="shared" si="168"/>
        <v>0</v>
      </c>
      <c r="I164" s="9"/>
      <c r="J164" s="9"/>
      <c r="K164" s="9">
        <f t="shared" si="166"/>
        <v>0</v>
      </c>
      <c r="L164" s="32"/>
      <c r="M164" s="9"/>
      <c r="N164" s="9">
        <f t="shared" si="167"/>
        <v>0</v>
      </c>
      <c r="O164" s="32"/>
    </row>
    <row r="165" spans="1:15" ht="12.75" customHeight="1" thickBot="1" x14ac:dyDescent="0.25">
      <c r="A165" s="3"/>
      <c r="B165" s="6"/>
      <c r="C165" s="5" t="s">
        <v>2</v>
      </c>
      <c r="D165" s="5" t="s">
        <v>1</v>
      </c>
      <c r="E165" s="5" t="s">
        <v>0</v>
      </c>
      <c r="F165" s="4">
        <f>SUM(F7,F15,F20,F27,F29,F34,F45,F47,F50,F60,F64,F76,F80,F88,F103,F105,F108,F116,F121,F138,F140,F151,F158)</f>
        <v>4064347.2</v>
      </c>
      <c r="G165" s="4">
        <f>SUM(G7,G15,G20,G27,G29,G34,G45,G47,G50,G60,G64,G76,G80,G88,G103,G105,G108,G116,G121,G138,G140,G151,G158)</f>
        <v>151368.79999999999</v>
      </c>
      <c r="H165" s="4">
        <f>SUM(H7,H15,H20,H27,H29,H34,H45,H47,H50,H60,H64,H76,H80,H88,H103,H105,H108,H116,H121,H138,H140,H151,H158)</f>
        <v>4585506.9000000004</v>
      </c>
      <c r="I165" s="4"/>
      <c r="J165" s="4">
        <f>SUM(J7,J15,J20,J27,J29,J34,J45,J47,J50,J60,J64,J76,J80,J88,J103,J105,J108,J116,J121,J138,J140,J151,J158)</f>
        <v>1108529.5</v>
      </c>
      <c r="K165" s="4">
        <f>SUM(K7,K15,K20,K27,K29,K34,K45,K47,K50,K60,K64,K76,K80,K88,K103,K105,K108,K116,K121,K138,K140,K151,K158)</f>
        <v>5302616.7000000011</v>
      </c>
      <c r="L165" s="44"/>
      <c r="M165" s="4">
        <f>SUM(M7,M15,M20,M27,M29,M34,M45,M47,M50,M60,M64,M76,M80,M88,M103,M105,M108,M116,M121,M138,M140,M151,M158)</f>
        <v>51639.090000000004</v>
      </c>
      <c r="N165" s="4">
        <f>SUM(N7,N15,N20,N27,N29,N34,N45,N47,N50,N60,N64,N76,N80,N88,N103,N105,N108,N116,N121,N138,N140,N151,N158)</f>
        <v>5354255.7899999991</v>
      </c>
      <c r="O165" s="44"/>
    </row>
    <row r="166" spans="1:15" ht="12.75" customHeight="1" x14ac:dyDescent="0.2">
      <c r="A166" s="2"/>
      <c r="B166" s="1"/>
      <c r="C166" s="1"/>
      <c r="D166" s="1"/>
      <c r="E166" s="1"/>
      <c r="F166" s="26"/>
      <c r="G166" s="26"/>
      <c r="H166" s="26"/>
      <c r="I166" s="26"/>
      <c r="J166" s="26"/>
      <c r="K166" s="26"/>
      <c r="L166" s="45"/>
      <c r="M166" s="26"/>
      <c r="N166" s="26"/>
      <c r="O166" s="45"/>
    </row>
  </sheetData>
  <mergeCells count="2">
    <mergeCell ref="C5:E5"/>
    <mergeCell ref="B4:O4"/>
  </mergeCells>
  <pageMargins left="0.39370078740157483" right="0.39370078740157483" top="0.98425196850393704" bottom="0.19685039370078741" header="0.51181102362204722" footer="0.51181102362204722"/>
  <pageSetup paperSize="9" scale="60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showGridLines="0" tabSelected="1" topLeftCell="A154" zoomScale="80" zoomScaleNormal="80" zoomScaleSheetLayoutView="68" workbookViewId="0">
      <pane xSplit="5" topLeftCell="H1" activePane="topRight" state="frozen"/>
      <selection pane="topRight" activeCell="U2" sqref="U2"/>
    </sheetView>
  </sheetViews>
  <sheetFormatPr defaultColWidth="9.140625" defaultRowHeight="12.75" outlineLevelRow="1" x14ac:dyDescent="0.2"/>
  <cols>
    <col min="1" max="1" width="0.7109375" style="62" customWidth="1"/>
    <col min="2" max="2" width="73.5703125" style="62" customWidth="1"/>
    <col min="3" max="5" width="5.28515625" style="62" customWidth="1"/>
    <col min="6" max="6" width="14.7109375" style="62" customWidth="1"/>
    <col min="7" max="7" width="10.5703125" style="62" hidden="1" customWidth="1"/>
    <col min="8" max="8" width="15" style="62" customWidth="1"/>
    <col min="9" max="9" width="63.28515625" style="62" hidden="1" customWidth="1"/>
    <col min="10" max="10" width="17.140625" style="62" hidden="1" customWidth="1"/>
    <col min="11" max="11" width="15" style="62" customWidth="1"/>
    <col min="12" max="12" width="63.28515625" style="86" hidden="1" customWidth="1"/>
    <col min="13" max="13" width="17.140625" style="62" hidden="1" customWidth="1"/>
    <col min="14" max="14" width="15" style="62" customWidth="1"/>
    <col min="15" max="15" width="14.85546875" style="86" hidden="1" customWidth="1"/>
    <col min="16" max="16" width="22.140625" style="62" hidden="1" customWidth="1"/>
    <col min="17" max="17" width="15" style="62" customWidth="1"/>
    <col min="18" max="18" width="98.140625" style="86" hidden="1" customWidth="1"/>
    <col min="19" max="19" width="15" style="62" customWidth="1"/>
    <col min="20" max="20" width="21.85546875" style="62" customWidth="1"/>
    <col min="21" max="21" width="92.42578125" style="62" customWidth="1"/>
    <col min="22" max="206" width="9.140625" style="62" customWidth="1"/>
    <col min="207" max="16384" width="9.140625" style="62"/>
  </cols>
  <sheetData>
    <row r="1" spans="1:21" x14ac:dyDescent="0.2">
      <c r="I1" s="63" t="s">
        <v>38</v>
      </c>
      <c r="L1" s="64" t="s">
        <v>38</v>
      </c>
      <c r="O1" s="64"/>
      <c r="U1" s="64" t="s">
        <v>492</v>
      </c>
    </row>
    <row r="2" spans="1:21" x14ac:dyDescent="0.2">
      <c r="I2" s="63" t="s">
        <v>39</v>
      </c>
      <c r="L2" s="64" t="s">
        <v>39</v>
      </c>
      <c r="O2" s="64"/>
      <c r="U2" s="64" t="s">
        <v>39</v>
      </c>
    </row>
    <row r="3" spans="1:2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5"/>
      <c r="N3" s="65"/>
      <c r="O3" s="66"/>
      <c r="P3" s="65"/>
      <c r="Q3" s="65"/>
      <c r="R3" s="66"/>
    </row>
    <row r="4" spans="1:21" ht="27.75" customHeight="1" thickBot="1" x14ac:dyDescent="0.25">
      <c r="A4" s="65"/>
      <c r="B4" s="168" t="s">
        <v>201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s="71" customFormat="1" ht="130.5" customHeight="1" thickBot="1" x14ac:dyDescent="0.3">
      <c r="A5" s="67"/>
      <c r="B5" s="68" t="s">
        <v>32</v>
      </c>
      <c r="C5" s="165" t="s">
        <v>33</v>
      </c>
      <c r="D5" s="166"/>
      <c r="E5" s="167"/>
      <c r="F5" s="68" t="s">
        <v>34</v>
      </c>
      <c r="G5" s="69" t="s">
        <v>35</v>
      </c>
      <c r="H5" s="68" t="s">
        <v>202</v>
      </c>
      <c r="I5" s="68" t="s">
        <v>37</v>
      </c>
      <c r="J5" s="69" t="s">
        <v>35</v>
      </c>
      <c r="K5" s="68" t="s">
        <v>249</v>
      </c>
      <c r="L5" s="70" t="s">
        <v>37</v>
      </c>
      <c r="M5" s="69" t="s">
        <v>35</v>
      </c>
      <c r="N5" s="68" t="s">
        <v>335</v>
      </c>
      <c r="O5" s="70" t="s">
        <v>37</v>
      </c>
      <c r="P5" s="90" t="s">
        <v>35</v>
      </c>
      <c r="Q5" s="68" t="s">
        <v>421</v>
      </c>
      <c r="R5" s="91" t="s">
        <v>37</v>
      </c>
      <c r="S5" s="142" t="s">
        <v>35</v>
      </c>
      <c r="T5" s="68" t="s">
        <v>36</v>
      </c>
      <c r="U5" s="143" t="s">
        <v>37</v>
      </c>
    </row>
    <row r="6" spans="1:21" ht="12" customHeight="1" x14ac:dyDescent="0.2">
      <c r="A6" s="65"/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  <c r="M6" s="73"/>
      <c r="N6" s="73"/>
      <c r="O6" s="74"/>
      <c r="P6" s="73"/>
      <c r="Q6" s="73"/>
      <c r="R6" s="74"/>
    </row>
    <row r="7" spans="1:21" s="77" customFormat="1" ht="35.25" customHeight="1" x14ac:dyDescent="0.2">
      <c r="A7" s="75"/>
      <c r="B7" s="92" t="s">
        <v>40</v>
      </c>
      <c r="C7" s="93" t="s">
        <v>8</v>
      </c>
      <c r="D7" s="93" t="s">
        <v>3</v>
      </c>
      <c r="E7" s="93" t="s">
        <v>3</v>
      </c>
      <c r="F7" s="94">
        <f>SUM(F8,F10,F12)</f>
        <v>36172.300000000003</v>
      </c>
      <c r="G7" s="94">
        <f t="shared" ref="G7:H7" si="0">SUM(G8,G10,G12)</f>
        <v>0</v>
      </c>
      <c r="H7" s="94">
        <f t="shared" si="0"/>
        <v>36172.300000000003</v>
      </c>
      <c r="I7" s="94"/>
      <c r="J7" s="94">
        <f t="shared" ref="J7:K7" si="1">SUM(J8,J10,J12)</f>
        <v>0</v>
      </c>
      <c r="K7" s="94">
        <f t="shared" si="1"/>
        <v>36172.300000000003</v>
      </c>
      <c r="L7" s="95"/>
      <c r="M7" s="94">
        <f t="shared" ref="M7:N7" si="2">SUM(M8,M10,M12)</f>
        <v>0</v>
      </c>
      <c r="N7" s="94">
        <f t="shared" si="2"/>
        <v>36172.300000000003</v>
      </c>
      <c r="O7" s="95"/>
      <c r="P7" s="94">
        <f t="shared" ref="P7:Q7" si="3">SUM(P8,P10,P12)</f>
        <v>1854.9</v>
      </c>
      <c r="Q7" s="94">
        <f t="shared" si="3"/>
        <v>38027.200000000004</v>
      </c>
      <c r="R7" s="76"/>
      <c r="S7" s="94">
        <f t="shared" ref="S7:T7" si="4">SUM(S8,S10,S12)</f>
        <v>595</v>
      </c>
      <c r="T7" s="127">
        <f t="shared" si="4"/>
        <v>38622.199999999997</v>
      </c>
      <c r="U7" s="150"/>
    </row>
    <row r="8" spans="1:21" s="80" customFormat="1" ht="41.25" customHeight="1" x14ac:dyDescent="0.2">
      <c r="A8" s="78"/>
      <c r="B8" s="96" t="s">
        <v>41</v>
      </c>
      <c r="C8" s="97" t="s">
        <v>8</v>
      </c>
      <c r="D8" s="97" t="s">
        <v>12</v>
      </c>
      <c r="E8" s="97" t="s">
        <v>3</v>
      </c>
      <c r="F8" s="98">
        <f>SUM(F9)</f>
        <v>1500</v>
      </c>
      <c r="G8" s="98">
        <f t="shared" ref="G8:T8" si="5">SUM(G9)</f>
        <v>0</v>
      </c>
      <c r="H8" s="98">
        <f t="shared" si="5"/>
        <v>1500</v>
      </c>
      <c r="I8" s="98"/>
      <c r="J8" s="98">
        <f t="shared" si="5"/>
        <v>0</v>
      </c>
      <c r="K8" s="98">
        <f t="shared" si="5"/>
        <v>1500</v>
      </c>
      <c r="L8" s="99"/>
      <c r="M8" s="98">
        <f t="shared" si="5"/>
        <v>282.7</v>
      </c>
      <c r="N8" s="98">
        <f t="shared" si="5"/>
        <v>1782.7</v>
      </c>
      <c r="O8" s="99" t="s">
        <v>301</v>
      </c>
      <c r="P8" s="98">
        <f t="shared" si="5"/>
        <v>157.30000000000001</v>
      </c>
      <c r="Q8" s="98">
        <f t="shared" si="5"/>
        <v>1940</v>
      </c>
      <c r="R8" s="79" t="s">
        <v>367</v>
      </c>
      <c r="S8" s="98">
        <f t="shared" si="5"/>
        <v>176.8</v>
      </c>
      <c r="T8" s="144">
        <f t="shared" si="5"/>
        <v>2116.8000000000002</v>
      </c>
      <c r="U8" s="151" t="s">
        <v>428</v>
      </c>
    </row>
    <row r="9" spans="1:21" ht="43.5" hidden="1" customHeight="1" outlineLevel="1" x14ac:dyDescent="0.2">
      <c r="A9" s="81"/>
      <c r="B9" s="100" t="s">
        <v>42</v>
      </c>
      <c r="C9" s="101" t="s">
        <v>8</v>
      </c>
      <c r="D9" s="101" t="s">
        <v>12</v>
      </c>
      <c r="E9" s="101" t="s">
        <v>8</v>
      </c>
      <c r="F9" s="102">
        <v>1500</v>
      </c>
      <c r="G9" s="102"/>
      <c r="H9" s="102">
        <f>SUM(F9:G9)</f>
        <v>1500</v>
      </c>
      <c r="I9" s="102"/>
      <c r="J9" s="102"/>
      <c r="K9" s="102">
        <f>SUM(H9,J9)</f>
        <v>1500</v>
      </c>
      <c r="L9" s="103"/>
      <c r="M9" s="102">
        <v>282.7</v>
      </c>
      <c r="N9" s="102">
        <f>SUM(K9,M9)</f>
        <v>1782.7</v>
      </c>
      <c r="O9" s="103" t="s">
        <v>285</v>
      </c>
      <c r="P9" s="102">
        <v>157.30000000000001</v>
      </c>
      <c r="Q9" s="102">
        <f>SUM(N9,P9)</f>
        <v>1940</v>
      </c>
      <c r="R9" s="82" t="s">
        <v>367</v>
      </c>
      <c r="S9" s="102">
        <v>176.8</v>
      </c>
      <c r="T9" s="145">
        <f>SUM(Q9,S9)</f>
        <v>2116.8000000000002</v>
      </c>
      <c r="U9" s="148" t="s">
        <v>428</v>
      </c>
    </row>
    <row r="10" spans="1:21" s="80" customFormat="1" ht="38.25" customHeight="1" collapsed="1" x14ac:dyDescent="0.2">
      <c r="A10" s="78"/>
      <c r="B10" s="96" t="s">
        <v>43</v>
      </c>
      <c r="C10" s="97" t="s">
        <v>8</v>
      </c>
      <c r="D10" s="97" t="s">
        <v>10</v>
      </c>
      <c r="E10" s="97" t="s">
        <v>3</v>
      </c>
      <c r="F10" s="98">
        <f>SUM(F11)</f>
        <v>400</v>
      </c>
      <c r="G10" s="98">
        <f t="shared" ref="G10:T10" si="6">SUM(G11)</f>
        <v>0</v>
      </c>
      <c r="H10" s="98">
        <f t="shared" si="6"/>
        <v>400</v>
      </c>
      <c r="I10" s="98"/>
      <c r="J10" s="98">
        <f t="shared" si="6"/>
        <v>0</v>
      </c>
      <c r="K10" s="98">
        <f t="shared" si="6"/>
        <v>400</v>
      </c>
      <c r="L10" s="99"/>
      <c r="M10" s="98">
        <f t="shared" si="6"/>
        <v>-282.7</v>
      </c>
      <c r="N10" s="98">
        <f t="shared" si="6"/>
        <v>117.30000000000001</v>
      </c>
      <c r="O10" s="99" t="s">
        <v>286</v>
      </c>
      <c r="P10" s="98">
        <f t="shared" si="6"/>
        <v>0</v>
      </c>
      <c r="Q10" s="98">
        <f t="shared" si="6"/>
        <v>117.30000000000001</v>
      </c>
      <c r="R10" s="79"/>
      <c r="S10" s="98">
        <f t="shared" si="6"/>
        <v>0</v>
      </c>
      <c r="T10" s="144">
        <f t="shared" si="6"/>
        <v>117.30000000000001</v>
      </c>
      <c r="U10" s="151"/>
    </row>
    <row r="11" spans="1:21" ht="34.5" hidden="1" customHeight="1" outlineLevel="1" x14ac:dyDescent="0.2">
      <c r="A11" s="81"/>
      <c r="B11" s="100" t="s">
        <v>44</v>
      </c>
      <c r="C11" s="101" t="s">
        <v>8</v>
      </c>
      <c r="D11" s="101" t="s">
        <v>10</v>
      </c>
      <c r="E11" s="101" t="s">
        <v>8</v>
      </c>
      <c r="F11" s="102">
        <v>400</v>
      </c>
      <c r="G11" s="102"/>
      <c r="H11" s="102">
        <f>SUM(F11:G11)</f>
        <v>400</v>
      </c>
      <c r="I11" s="102"/>
      <c r="J11" s="102"/>
      <c r="K11" s="102">
        <f>SUM(H11,J11)</f>
        <v>400</v>
      </c>
      <c r="L11" s="103"/>
      <c r="M11" s="102">
        <v>-282.7</v>
      </c>
      <c r="N11" s="102">
        <f>SUM(K11,M11)</f>
        <v>117.30000000000001</v>
      </c>
      <c r="O11" s="103" t="s">
        <v>286</v>
      </c>
      <c r="P11" s="102"/>
      <c r="Q11" s="102">
        <f>SUM(N11,P11)</f>
        <v>117.30000000000001</v>
      </c>
      <c r="R11" s="82"/>
      <c r="S11" s="102"/>
      <c r="T11" s="145">
        <f>SUM(Q11,S11)</f>
        <v>117.30000000000001</v>
      </c>
      <c r="U11" s="148"/>
    </row>
    <row r="12" spans="1:21" s="80" customFormat="1" ht="43.5" customHeight="1" collapsed="1" x14ac:dyDescent="0.2">
      <c r="A12" s="78"/>
      <c r="B12" s="96" t="s">
        <v>45</v>
      </c>
      <c r="C12" s="97" t="s">
        <v>8</v>
      </c>
      <c r="D12" s="97" t="s">
        <v>14</v>
      </c>
      <c r="E12" s="97" t="s">
        <v>3</v>
      </c>
      <c r="F12" s="98">
        <f>SUM(F13:F14)</f>
        <v>34272.300000000003</v>
      </c>
      <c r="G12" s="98">
        <f t="shared" ref="G12:H12" si="7">SUM(G13:G14)</f>
        <v>0</v>
      </c>
      <c r="H12" s="98">
        <f t="shared" si="7"/>
        <v>34272.300000000003</v>
      </c>
      <c r="I12" s="98"/>
      <c r="J12" s="98">
        <f t="shared" ref="J12:K12" si="8">SUM(J13:J14)</f>
        <v>0</v>
      </c>
      <c r="K12" s="98">
        <f t="shared" si="8"/>
        <v>34272.300000000003</v>
      </c>
      <c r="L12" s="99"/>
      <c r="M12" s="98">
        <f t="shared" ref="M12:N12" si="9">SUM(M13:M14)</f>
        <v>0</v>
      </c>
      <c r="N12" s="98">
        <f t="shared" si="9"/>
        <v>34272.300000000003</v>
      </c>
      <c r="O12" s="99"/>
      <c r="P12" s="98">
        <f>SUM(P13:P14)</f>
        <v>1697.6000000000001</v>
      </c>
      <c r="Q12" s="98">
        <f t="shared" ref="Q12" si="10">SUM(Q13:Q14)</f>
        <v>35969.9</v>
      </c>
      <c r="R12" s="79" t="s">
        <v>409</v>
      </c>
      <c r="S12" s="98">
        <f>SUM(S13:S14)</f>
        <v>418.2</v>
      </c>
      <c r="T12" s="144">
        <f t="shared" ref="T12" si="11">SUM(T13:T14)</f>
        <v>36388.1</v>
      </c>
      <c r="U12" s="151" t="s">
        <v>491</v>
      </c>
    </row>
    <row r="13" spans="1:21" ht="67.5" hidden="1" customHeight="1" outlineLevel="1" x14ac:dyDescent="0.2">
      <c r="A13" s="81"/>
      <c r="B13" s="100" t="s">
        <v>46</v>
      </c>
      <c r="C13" s="101" t="s">
        <v>8</v>
      </c>
      <c r="D13" s="101" t="s">
        <v>14</v>
      </c>
      <c r="E13" s="101" t="s">
        <v>8</v>
      </c>
      <c r="F13" s="102">
        <v>33972.300000000003</v>
      </c>
      <c r="G13" s="102"/>
      <c r="H13" s="102">
        <f>SUM(F13:G13)</f>
        <v>33972.300000000003</v>
      </c>
      <c r="I13" s="102"/>
      <c r="J13" s="102"/>
      <c r="K13" s="102">
        <f t="shared" ref="K13:K14" si="12">SUM(H13,J13)</f>
        <v>33972.300000000003</v>
      </c>
      <c r="L13" s="103"/>
      <c r="M13" s="102">
        <v>5</v>
      </c>
      <c r="N13" s="102">
        <f t="shared" ref="N13:N14" si="13">SUM(K13,M13)</f>
        <v>33977.300000000003</v>
      </c>
      <c r="O13" s="103" t="s">
        <v>264</v>
      </c>
      <c r="P13" s="102">
        <f>1245.9+300+151.7</f>
        <v>1697.6000000000001</v>
      </c>
      <c r="Q13" s="102">
        <f t="shared" ref="Q13:Q14" si="14">SUM(N13,P13)</f>
        <v>35674.9</v>
      </c>
      <c r="R13" s="82" t="s">
        <v>411</v>
      </c>
      <c r="S13" s="102">
        <v>418.2</v>
      </c>
      <c r="T13" s="145">
        <f t="shared" ref="T13:T14" si="15">SUM(Q13,S13)</f>
        <v>36093.1</v>
      </c>
      <c r="U13" s="148" t="s">
        <v>491</v>
      </c>
    </row>
    <row r="14" spans="1:21" ht="30.75" hidden="1" customHeight="1" outlineLevel="1" x14ac:dyDescent="0.2">
      <c r="A14" s="81"/>
      <c r="B14" s="100" t="s">
        <v>47</v>
      </c>
      <c r="C14" s="101" t="s">
        <v>8</v>
      </c>
      <c r="D14" s="101" t="s">
        <v>14</v>
      </c>
      <c r="E14" s="101" t="s">
        <v>7</v>
      </c>
      <c r="F14" s="102">
        <v>300</v>
      </c>
      <c r="G14" s="102"/>
      <c r="H14" s="102">
        <f>SUM(F14:G14)</f>
        <v>300</v>
      </c>
      <c r="I14" s="102"/>
      <c r="J14" s="102"/>
      <c r="K14" s="102">
        <f t="shared" si="12"/>
        <v>300</v>
      </c>
      <c r="L14" s="103"/>
      <c r="M14" s="102">
        <v>-5</v>
      </c>
      <c r="N14" s="102">
        <f t="shared" si="13"/>
        <v>295</v>
      </c>
      <c r="O14" s="103" t="s">
        <v>261</v>
      </c>
      <c r="P14" s="102"/>
      <c r="Q14" s="102">
        <f t="shared" si="14"/>
        <v>295</v>
      </c>
      <c r="R14" s="82"/>
      <c r="S14" s="102"/>
      <c r="T14" s="145">
        <f t="shared" si="15"/>
        <v>295</v>
      </c>
      <c r="U14" s="148"/>
    </row>
    <row r="15" spans="1:21" s="77" customFormat="1" ht="83.25" customHeight="1" collapsed="1" x14ac:dyDescent="0.2">
      <c r="A15" s="75"/>
      <c r="B15" s="92" t="s">
        <v>48</v>
      </c>
      <c r="C15" s="93" t="s">
        <v>7</v>
      </c>
      <c r="D15" s="93" t="s">
        <v>3</v>
      </c>
      <c r="E15" s="93" t="s">
        <v>3</v>
      </c>
      <c r="F15" s="94">
        <f>SUM(F16:F19)</f>
        <v>3951</v>
      </c>
      <c r="G15" s="94">
        <f t="shared" ref="G15:H15" si="16">SUM(G16:G19)</f>
        <v>0</v>
      </c>
      <c r="H15" s="94">
        <f t="shared" si="16"/>
        <v>3951</v>
      </c>
      <c r="I15" s="94"/>
      <c r="J15" s="94">
        <f t="shared" ref="J15:K15" si="17">SUM(J16:J19)</f>
        <v>0</v>
      </c>
      <c r="K15" s="94">
        <f t="shared" si="17"/>
        <v>3951</v>
      </c>
      <c r="L15" s="95"/>
      <c r="M15" s="94">
        <f t="shared" ref="M15:N15" si="18">SUM(M16:M19)</f>
        <v>0</v>
      </c>
      <c r="N15" s="94">
        <f t="shared" si="18"/>
        <v>3951</v>
      </c>
      <c r="O15" s="95"/>
      <c r="P15" s="94">
        <f t="shared" ref="P15" si="19">SUM(P16:P19)</f>
        <v>0</v>
      </c>
      <c r="Q15" s="94">
        <f>SUM(Q16:Q19)</f>
        <v>3951</v>
      </c>
      <c r="R15" s="76"/>
      <c r="S15" s="94">
        <f t="shared" ref="S15:T15" si="20">SUM(S16:S19)</f>
        <v>-304.10000000000002</v>
      </c>
      <c r="T15" s="127">
        <f t="shared" si="20"/>
        <v>3646.9</v>
      </c>
      <c r="U15" s="150" t="s">
        <v>484</v>
      </c>
    </row>
    <row r="16" spans="1:21" ht="72.75" hidden="1" customHeight="1" outlineLevel="1" x14ac:dyDescent="0.2">
      <c r="A16" s="81"/>
      <c r="B16" s="100" t="s">
        <v>49</v>
      </c>
      <c r="C16" s="101" t="s">
        <v>7</v>
      </c>
      <c r="D16" s="101" t="s">
        <v>1</v>
      </c>
      <c r="E16" s="101" t="s">
        <v>8</v>
      </c>
      <c r="F16" s="102">
        <v>3525.5</v>
      </c>
      <c r="G16" s="102"/>
      <c r="H16" s="102">
        <f>SUM(F16:G16)</f>
        <v>3525.5</v>
      </c>
      <c r="I16" s="102"/>
      <c r="J16" s="102"/>
      <c r="K16" s="102">
        <f t="shared" ref="K16:K19" si="21">SUM(H16,J16)</f>
        <v>3525.5</v>
      </c>
      <c r="L16" s="103"/>
      <c r="M16" s="102"/>
      <c r="N16" s="102">
        <f t="shared" ref="N16:N19" si="22">SUM(K16,M16)</f>
        <v>3525.5</v>
      </c>
      <c r="O16" s="103"/>
      <c r="P16" s="102"/>
      <c r="Q16" s="102">
        <f t="shared" ref="Q16:Q19" si="23">SUM(N16,P16)</f>
        <v>3525.5</v>
      </c>
      <c r="R16" s="82"/>
      <c r="S16" s="102">
        <f>-270-8.8</f>
        <v>-278.8</v>
      </c>
      <c r="T16" s="145">
        <f t="shared" ref="T16:T19" si="24">SUM(Q16,S16)</f>
        <v>3246.7</v>
      </c>
      <c r="U16" s="148" t="s">
        <v>434</v>
      </c>
    </row>
    <row r="17" spans="1:21" ht="32.25" hidden="1" customHeight="1" outlineLevel="1" x14ac:dyDescent="0.2">
      <c r="A17" s="81"/>
      <c r="B17" s="100" t="s">
        <v>50</v>
      </c>
      <c r="C17" s="101" t="s">
        <v>7</v>
      </c>
      <c r="D17" s="101" t="s">
        <v>1</v>
      </c>
      <c r="E17" s="101" t="s">
        <v>7</v>
      </c>
      <c r="F17" s="102">
        <v>0.5</v>
      </c>
      <c r="G17" s="102"/>
      <c r="H17" s="102">
        <f t="shared" ref="H17:H19" si="25">SUM(F17:G17)</f>
        <v>0.5</v>
      </c>
      <c r="I17" s="102"/>
      <c r="J17" s="102"/>
      <c r="K17" s="102">
        <f t="shared" si="21"/>
        <v>0.5</v>
      </c>
      <c r="L17" s="103"/>
      <c r="M17" s="102"/>
      <c r="N17" s="102">
        <f t="shared" si="22"/>
        <v>0.5</v>
      </c>
      <c r="O17" s="103"/>
      <c r="P17" s="102"/>
      <c r="Q17" s="102">
        <f t="shared" si="23"/>
        <v>0.5</v>
      </c>
      <c r="R17" s="82"/>
      <c r="S17" s="102"/>
      <c r="T17" s="145">
        <f t="shared" si="24"/>
        <v>0.5</v>
      </c>
      <c r="U17" s="148"/>
    </row>
    <row r="18" spans="1:21" ht="31.5" hidden="1" customHeight="1" outlineLevel="1" x14ac:dyDescent="0.2">
      <c r="A18" s="81"/>
      <c r="B18" s="100" t="s">
        <v>51</v>
      </c>
      <c r="C18" s="101" t="s">
        <v>7</v>
      </c>
      <c r="D18" s="101" t="s">
        <v>1</v>
      </c>
      <c r="E18" s="101" t="s">
        <v>13</v>
      </c>
      <c r="F18" s="102">
        <v>400</v>
      </c>
      <c r="G18" s="102"/>
      <c r="H18" s="102">
        <f>SUM(F18:G18)</f>
        <v>400</v>
      </c>
      <c r="I18" s="102"/>
      <c r="J18" s="102"/>
      <c r="K18" s="102">
        <f t="shared" si="21"/>
        <v>400</v>
      </c>
      <c r="L18" s="103"/>
      <c r="M18" s="102"/>
      <c r="N18" s="102">
        <f t="shared" si="22"/>
        <v>400</v>
      </c>
      <c r="O18" s="103"/>
      <c r="P18" s="102"/>
      <c r="Q18" s="102">
        <f t="shared" si="23"/>
        <v>400</v>
      </c>
      <c r="R18" s="82"/>
      <c r="S18" s="102">
        <f>-17.4-4.8</f>
        <v>-22.2</v>
      </c>
      <c r="T18" s="145">
        <f t="shared" si="24"/>
        <v>377.8</v>
      </c>
      <c r="U18" s="148" t="s">
        <v>482</v>
      </c>
    </row>
    <row r="19" spans="1:21" ht="34.5" hidden="1" customHeight="1" outlineLevel="1" x14ac:dyDescent="0.2">
      <c r="A19" s="81"/>
      <c r="B19" s="100" t="s">
        <v>52</v>
      </c>
      <c r="C19" s="101" t="s">
        <v>7</v>
      </c>
      <c r="D19" s="101" t="s">
        <v>1</v>
      </c>
      <c r="E19" s="101" t="s">
        <v>6</v>
      </c>
      <c r="F19" s="102">
        <v>25</v>
      </c>
      <c r="G19" s="102"/>
      <c r="H19" s="102">
        <f t="shared" si="25"/>
        <v>25</v>
      </c>
      <c r="I19" s="102"/>
      <c r="J19" s="102"/>
      <c r="K19" s="102">
        <f t="shared" si="21"/>
        <v>25</v>
      </c>
      <c r="L19" s="103"/>
      <c r="M19" s="102"/>
      <c r="N19" s="102">
        <f t="shared" si="22"/>
        <v>25</v>
      </c>
      <c r="O19" s="103"/>
      <c r="P19" s="102"/>
      <c r="Q19" s="102">
        <f t="shared" si="23"/>
        <v>25</v>
      </c>
      <c r="R19" s="82"/>
      <c r="S19" s="102">
        <v>-3.1</v>
      </c>
      <c r="T19" s="145">
        <f t="shared" si="24"/>
        <v>21.9</v>
      </c>
      <c r="U19" s="148" t="s">
        <v>435</v>
      </c>
    </row>
    <row r="20" spans="1:21" s="77" customFormat="1" ht="45" customHeight="1" collapsed="1" x14ac:dyDescent="0.2">
      <c r="A20" s="75"/>
      <c r="B20" s="92" t="s">
        <v>53</v>
      </c>
      <c r="C20" s="93" t="s">
        <v>13</v>
      </c>
      <c r="D20" s="93" t="s">
        <v>3</v>
      </c>
      <c r="E20" s="93" t="s">
        <v>3</v>
      </c>
      <c r="F20" s="94">
        <f>SUM(F21:G26)</f>
        <v>5123.6999999999989</v>
      </c>
      <c r="G20" s="94">
        <f>SUM(G21:H26)</f>
        <v>5123.6999999999989</v>
      </c>
      <c r="H20" s="94">
        <f>SUM(H21:I26)</f>
        <v>5123.6999999999989</v>
      </c>
      <c r="I20" s="94"/>
      <c r="J20" s="94">
        <f>SUM(J21:J26)</f>
        <v>1.2505552149377763E-12</v>
      </c>
      <c r="K20" s="94">
        <f>SUM(K21:K26)</f>
        <v>5123.7</v>
      </c>
      <c r="L20" s="95"/>
      <c r="M20" s="94">
        <f>SUM(M21:M26)</f>
        <v>0</v>
      </c>
      <c r="N20" s="94">
        <f>SUM(N21:N26)</f>
        <v>5123.7</v>
      </c>
      <c r="O20" s="95"/>
      <c r="P20" s="94">
        <f>SUM(P21:P26)</f>
        <v>0</v>
      </c>
      <c r="Q20" s="94">
        <f>SUM(Q21:Q26)</f>
        <v>5123.7</v>
      </c>
      <c r="R20" s="76"/>
      <c r="S20" s="94">
        <f>SUM(S21:S26)</f>
        <v>0</v>
      </c>
      <c r="T20" s="127">
        <f>SUM(T21:T26)</f>
        <v>5123.7</v>
      </c>
      <c r="U20" s="150"/>
    </row>
    <row r="21" spans="1:21" ht="21.75" hidden="1" customHeight="1" outlineLevel="1" x14ac:dyDescent="0.2">
      <c r="A21" s="81"/>
      <c r="B21" s="100" t="s">
        <v>54</v>
      </c>
      <c r="C21" s="101" t="s">
        <v>13</v>
      </c>
      <c r="D21" s="101" t="s">
        <v>1</v>
      </c>
      <c r="E21" s="101" t="s">
        <v>8</v>
      </c>
      <c r="F21" s="102">
        <v>516.9</v>
      </c>
      <c r="G21" s="102"/>
      <c r="H21" s="102">
        <f>SUM(F21:G21)</f>
        <v>516.9</v>
      </c>
      <c r="I21" s="102"/>
      <c r="J21" s="102">
        <v>-516.9</v>
      </c>
      <c r="K21" s="102">
        <f t="shared" ref="K21:K26" si="26">SUM(H21,J21)</f>
        <v>0</v>
      </c>
      <c r="L21" s="103"/>
      <c r="M21" s="102"/>
      <c r="N21" s="102">
        <f t="shared" ref="N21:N26" si="27">SUM(K21,M21)</f>
        <v>0</v>
      </c>
      <c r="O21" s="103"/>
      <c r="P21" s="102"/>
      <c r="Q21" s="102">
        <f t="shared" ref="Q21:Q26" si="28">SUM(N21,P21)</f>
        <v>0</v>
      </c>
      <c r="R21" s="82"/>
      <c r="S21" s="102"/>
      <c r="T21" s="145">
        <f t="shared" ref="T21:T26" si="29">SUM(Q21,S21)</f>
        <v>0</v>
      </c>
      <c r="U21" s="148"/>
    </row>
    <row r="22" spans="1:21" ht="21.75" hidden="1" customHeight="1" outlineLevel="1" x14ac:dyDescent="0.2">
      <c r="A22" s="81"/>
      <c r="B22" s="100" t="s">
        <v>55</v>
      </c>
      <c r="C22" s="101" t="s">
        <v>13</v>
      </c>
      <c r="D22" s="101" t="s">
        <v>1</v>
      </c>
      <c r="E22" s="101" t="s">
        <v>7</v>
      </c>
      <c r="F22" s="102">
        <v>4425</v>
      </c>
      <c r="G22" s="102"/>
      <c r="H22" s="102">
        <f t="shared" ref="H22:H26" si="30">SUM(F22:G22)</f>
        <v>4425</v>
      </c>
      <c r="I22" s="102"/>
      <c r="J22" s="102">
        <v>-4425</v>
      </c>
      <c r="K22" s="102">
        <f t="shared" si="26"/>
        <v>0</v>
      </c>
      <c r="L22" s="103"/>
      <c r="M22" s="102"/>
      <c r="N22" s="102">
        <f t="shared" si="27"/>
        <v>0</v>
      </c>
      <c r="O22" s="103"/>
      <c r="P22" s="102"/>
      <c r="Q22" s="102">
        <f t="shared" si="28"/>
        <v>0</v>
      </c>
      <c r="R22" s="82"/>
      <c r="S22" s="102"/>
      <c r="T22" s="145">
        <f t="shared" si="29"/>
        <v>0</v>
      </c>
      <c r="U22" s="148"/>
    </row>
    <row r="23" spans="1:21" ht="12.75" hidden="1" customHeight="1" outlineLevel="1" x14ac:dyDescent="0.2">
      <c r="A23" s="81"/>
      <c r="B23" s="100" t="s">
        <v>56</v>
      </c>
      <c r="C23" s="101" t="s">
        <v>13</v>
      </c>
      <c r="D23" s="101" t="s">
        <v>1</v>
      </c>
      <c r="E23" s="101" t="s">
        <v>13</v>
      </c>
      <c r="F23" s="102">
        <v>90.9</v>
      </c>
      <c r="G23" s="102"/>
      <c r="H23" s="102">
        <f t="shared" si="30"/>
        <v>90.9</v>
      </c>
      <c r="I23" s="102"/>
      <c r="J23" s="102">
        <v>-90.9</v>
      </c>
      <c r="K23" s="102">
        <f t="shared" si="26"/>
        <v>0</v>
      </c>
      <c r="L23" s="103"/>
      <c r="M23" s="102"/>
      <c r="N23" s="102">
        <f t="shared" si="27"/>
        <v>0</v>
      </c>
      <c r="O23" s="103"/>
      <c r="P23" s="102"/>
      <c r="Q23" s="102">
        <f t="shared" si="28"/>
        <v>0</v>
      </c>
      <c r="R23" s="82"/>
      <c r="S23" s="102"/>
      <c r="T23" s="145">
        <f t="shared" si="29"/>
        <v>0</v>
      </c>
      <c r="U23" s="148"/>
    </row>
    <row r="24" spans="1:21" ht="12.75" hidden="1" customHeight="1" outlineLevel="1" x14ac:dyDescent="0.2">
      <c r="A24" s="81"/>
      <c r="B24" s="100" t="s">
        <v>57</v>
      </c>
      <c r="C24" s="101" t="s">
        <v>13</v>
      </c>
      <c r="D24" s="101" t="s">
        <v>1</v>
      </c>
      <c r="E24" s="101" t="s">
        <v>6</v>
      </c>
      <c r="F24" s="102">
        <v>90.9</v>
      </c>
      <c r="G24" s="102"/>
      <c r="H24" s="102">
        <f t="shared" si="30"/>
        <v>90.9</v>
      </c>
      <c r="I24" s="102"/>
      <c r="J24" s="102">
        <v>-90.9</v>
      </c>
      <c r="K24" s="102">
        <f t="shared" si="26"/>
        <v>0</v>
      </c>
      <c r="L24" s="103"/>
      <c r="M24" s="102"/>
      <c r="N24" s="102">
        <f t="shared" si="27"/>
        <v>0</v>
      </c>
      <c r="O24" s="103"/>
      <c r="P24" s="102"/>
      <c r="Q24" s="102">
        <f t="shared" si="28"/>
        <v>0</v>
      </c>
      <c r="R24" s="82"/>
      <c r="S24" s="102"/>
      <c r="T24" s="145">
        <f t="shared" si="29"/>
        <v>0</v>
      </c>
      <c r="U24" s="148"/>
    </row>
    <row r="25" spans="1:21" ht="36" hidden="1" outlineLevel="1" x14ac:dyDescent="0.2">
      <c r="A25" s="81"/>
      <c r="B25" s="100" t="s">
        <v>236</v>
      </c>
      <c r="C25" s="101" t="s">
        <v>13</v>
      </c>
      <c r="D25" s="101" t="s">
        <v>1</v>
      </c>
      <c r="E25" s="101" t="s">
        <v>237</v>
      </c>
      <c r="F25" s="102">
        <v>0</v>
      </c>
      <c r="G25" s="102"/>
      <c r="H25" s="102">
        <f t="shared" si="30"/>
        <v>0</v>
      </c>
      <c r="I25" s="102"/>
      <c r="J25" s="102">
        <v>4511.8</v>
      </c>
      <c r="K25" s="102">
        <f t="shared" si="26"/>
        <v>4511.8</v>
      </c>
      <c r="L25" s="103"/>
      <c r="M25" s="102"/>
      <c r="N25" s="102">
        <f t="shared" si="27"/>
        <v>4511.8</v>
      </c>
      <c r="O25" s="103"/>
      <c r="P25" s="102"/>
      <c r="Q25" s="102">
        <f t="shared" si="28"/>
        <v>4511.8</v>
      </c>
      <c r="R25" s="82"/>
      <c r="S25" s="102"/>
      <c r="T25" s="145">
        <f t="shared" si="29"/>
        <v>4511.8</v>
      </c>
      <c r="U25" s="148"/>
    </row>
    <row r="26" spans="1:21" ht="12.75" hidden="1" customHeight="1" outlineLevel="1" x14ac:dyDescent="0.2">
      <c r="A26" s="81"/>
      <c r="B26" s="100" t="s">
        <v>239</v>
      </c>
      <c r="C26" s="101" t="s">
        <v>13</v>
      </c>
      <c r="D26" s="101" t="s">
        <v>1</v>
      </c>
      <c r="E26" s="101" t="s">
        <v>238</v>
      </c>
      <c r="F26" s="102">
        <v>0</v>
      </c>
      <c r="G26" s="102"/>
      <c r="H26" s="102">
        <f t="shared" si="30"/>
        <v>0</v>
      </c>
      <c r="I26" s="102"/>
      <c r="J26" s="102">
        <v>611.9</v>
      </c>
      <c r="K26" s="102">
        <f t="shared" si="26"/>
        <v>611.9</v>
      </c>
      <c r="L26" s="103"/>
      <c r="M26" s="102"/>
      <c r="N26" s="102">
        <f t="shared" si="27"/>
        <v>611.9</v>
      </c>
      <c r="O26" s="103"/>
      <c r="P26" s="102"/>
      <c r="Q26" s="102">
        <f t="shared" si="28"/>
        <v>611.9</v>
      </c>
      <c r="R26" s="82"/>
      <c r="S26" s="102"/>
      <c r="T26" s="145">
        <f t="shared" si="29"/>
        <v>611.9</v>
      </c>
      <c r="U26" s="148"/>
    </row>
    <row r="27" spans="1:21" s="77" customFormat="1" ht="42" customHeight="1" collapsed="1" x14ac:dyDescent="0.2">
      <c r="A27" s="75"/>
      <c r="B27" s="92" t="s">
        <v>58</v>
      </c>
      <c r="C27" s="93" t="s">
        <v>6</v>
      </c>
      <c r="D27" s="93" t="s">
        <v>3</v>
      </c>
      <c r="E27" s="93" t="s">
        <v>3</v>
      </c>
      <c r="F27" s="94">
        <f>SUM(F28)</f>
        <v>400</v>
      </c>
      <c r="G27" s="94">
        <f t="shared" ref="G27:K27" si="31">SUM(G28)</f>
        <v>0</v>
      </c>
      <c r="H27" s="94">
        <f t="shared" si="31"/>
        <v>400</v>
      </c>
      <c r="I27" s="94"/>
      <c r="J27" s="94">
        <f t="shared" si="31"/>
        <v>0</v>
      </c>
      <c r="K27" s="94">
        <f t="shared" si="31"/>
        <v>400</v>
      </c>
      <c r="L27" s="95"/>
      <c r="M27" s="94">
        <f>SUM(M28:M29)</f>
        <v>0</v>
      </c>
      <c r="N27" s="94">
        <f>SUM(N28:N29)</f>
        <v>400</v>
      </c>
      <c r="O27" s="104"/>
      <c r="P27" s="94">
        <f>SUM(P28:P29)</f>
        <v>20.3</v>
      </c>
      <c r="Q27" s="94">
        <f>SUM(Q28:Q29)</f>
        <v>420.3</v>
      </c>
      <c r="R27" s="83" t="s">
        <v>397</v>
      </c>
      <c r="S27" s="94">
        <f>SUM(S28:S29)</f>
        <v>0</v>
      </c>
      <c r="T27" s="127">
        <f>SUM(T28:T29)</f>
        <v>420.3</v>
      </c>
      <c r="U27" s="150"/>
    </row>
    <row r="28" spans="1:21" ht="12.75" hidden="1" customHeight="1" outlineLevel="1" x14ac:dyDescent="0.2">
      <c r="A28" s="81"/>
      <c r="B28" s="100" t="s">
        <v>328</v>
      </c>
      <c r="C28" s="101" t="s">
        <v>6</v>
      </c>
      <c r="D28" s="101" t="s">
        <v>1</v>
      </c>
      <c r="E28" s="101" t="s">
        <v>8</v>
      </c>
      <c r="F28" s="102">
        <v>400</v>
      </c>
      <c r="G28" s="102"/>
      <c r="H28" s="102">
        <f>SUM(F28:G28)</f>
        <v>400</v>
      </c>
      <c r="I28" s="102"/>
      <c r="J28" s="102"/>
      <c r="K28" s="102">
        <f>SUM(H28,J28)</f>
        <v>400</v>
      </c>
      <c r="L28" s="103"/>
      <c r="M28" s="102"/>
      <c r="N28" s="102">
        <f>SUM(K28,M28)</f>
        <v>400</v>
      </c>
      <c r="O28" s="103"/>
      <c r="P28" s="102"/>
      <c r="Q28" s="102">
        <f>SUM(N28,P28)</f>
        <v>400</v>
      </c>
      <c r="R28" s="82"/>
      <c r="S28" s="102"/>
      <c r="T28" s="145">
        <f>SUM(Q28,S28)</f>
        <v>400</v>
      </c>
      <c r="U28" s="148"/>
    </row>
    <row r="29" spans="1:21" ht="51.75" hidden="1" customHeight="1" outlineLevel="1" x14ac:dyDescent="0.2">
      <c r="A29" s="81"/>
      <c r="B29" s="100" t="s">
        <v>329</v>
      </c>
      <c r="C29" s="101">
        <v>4</v>
      </c>
      <c r="D29" s="101">
        <v>0</v>
      </c>
      <c r="E29" s="101">
        <v>2</v>
      </c>
      <c r="F29" s="102"/>
      <c r="G29" s="102"/>
      <c r="H29" s="102"/>
      <c r="I29" s="102"/>
      <c r="J29" s="102"/>
      <c r="K29" s="102"/>
      <c r="L29" s="103"/>
      <c r="M29" s="102"/>
      <c r="N29" s="102">
        <f>SUM(K29,M29)</f>
        <v>0</v>
      </c>
      <c r="O29" s="103"/>
      <c r="P29" s="102">
        <v>20.3</v>
      </c>
      <c r="Q29" s="102">
        <f>SUM(N29,P29)</f>
        <v>20.3</v>
      </c>
      <c r="R29" s="82" t="s">
        <v>374</v>
      </c>
      <c r="S29" s="102"/>
      <c r="T29" s="145">
        <f>SUM(Q29,S29)</f>
        <v>20.3</v>
      </c>
      <c r="U29" s="148"/>
    </row>
    <row r="30" spans="1:21" s="77" customFormat="1" ht="34.5" customHeight="1" collapsed="1" x14ac:dyDescent="0.2">
      <c r="A30" s="75"/>
      <c r="B30" s="92" t="s">
        <v>59</v>
      </c>
      <c r="C30" s="93" t="s">
        <v>5</v>
      </c>
      <c r="D30" s="93" t="s">
        <v>3</v>
      </c>
      <c r="E30" s="93" t="s">
        <v>3</v>
      </c>
      <c r="F30" s="94">
        <f>SUM(F31,F33)</f>
        <v>35967.300000000003</v>
      </c>
      <c r="G30" s="94">
        <f t="shared" ref="G30:H30" si="32">SUM(G31,G33)</f>
        <v>0</v>
      </c>
      <c r="H30" s="94">
        <f t="shared" si="32"/>
        <v>35967.300000000003</v>
      </c>
      <c r="I30" s="94"/>
      <c r="J30" s="94">
        <f t="shared" ref="J30:K30" si="33">SUM(J31,J33)</f>
        <v>0</v>
      </c>
      <c r="K30" s="94">
        <f t="shared" si="33"/>
        <v>35967.300000000003</v>
      </c>
      <c r="L30" s="95"/>
      <c r="M30" s="94">
        <f t="shared" ref="M30:N30" si="34">SUM(M31,M33)</f>
        <v>0</v>
      </c>
      <c r="N30" s="94">
        <f t="shared" si="34"/>
        <v>35967.300000000003</v>
      </c>
      <c r="O30" s="95"/>
      <c r="P30" s="94">
        <f t="shared" ref="P30:Q30" si="35">SUM(P31,P33)</f>
        <v>2704.3</v>
      </c>
      <c r="Q30" s="94">
        <f t="shared" si="35"/>
        <v>38671.599999999999</v>
      </c>
      <c r="R30" s="76"/>
      <c r="S30" s="94">
        <f t="shared" ref="S30:T30" si="36">SUM(S31,S33)</f>
        <v>-495.9</v>
      </c>
      <c r="T30" s="127">
        <f t="shared" si="36"/>
        <v>38175.699999999997</v>
      </c>
      <c r="U30" s="150"/>
    </row>
    <row r="31" spans="1:21" s="80" customFormat="1" ht="70.5" customHeight="1" x14ac:dyDescent="0.2">
      <c r="A31" s="78"/>
      <c r="B31" s="96" t="s">
        <v>60</v>
      </c>
      <c r="C31" s="97" t="s">
        <v>5</v>
      </c>
      <c r="D31" s="97" t="s">
        <v>12</v>
      </c>
      <c r="E31" s="97" t="s">
        <v>3</v>
      </c>
      <c r="F31" s="98">
        <f>SUM(F32)</f>
        <v>31790.3</v>
      </c>
      <c r="G31" s="98">
        <f t="shared" ref="G31:T31" si="37">SUM(G32)</f>
        <v>0</v>
      </c>
      <c r="H31" s="98">
        <f t="shared" si="37"/>
        <v>31790.3</v>
      </c>
      <c r="I31" s="98"/>
      <c r="J31" s="98">
        <f t="shared" si="37"/>
        <v>0</v>
      </c>
      <c r="K31" s="98">
        <f t="shared" si="37"/>
        <v>31790.3</v>
      </c>
      <c r="L31" s="99"/>
      <c r="M31" s="98">
        <f t="shared" si="37"/>
        <v>0</v>
      </c>
      <c r="N31" s="98">
        <f t="shared" si="37"/>
        <v>31790.3</v>
      </c>
      <c r="O31" s="99"/>
      <c r="P31" s="98">
        <f t="shared" si="37"/>
        <v>2704.3</v>
      </c>
      <c r="Q31" s="98">
        <f t="shared" si="37"/>
        <v>34494.6</v>
      </c>
      <c r="R31" s="79" t="s">
        <v>375</v>
      </c>
      <c r="S31" s="98">
        <f t="shared" si="37"/>
        <v>-170.9</v>
      </c>
      <c r="T31" s="144">
        <f t="shared" si="37"/>
        <v>34323.699999999997</v>
      </c>
      <c r="U31" s="151" t="s">
        <v>483</v>
      </c>
    </row>
    <row r="32" spans="1:21" ht="45.75" hidden="1" customHeight="1" outlineLevel="1" x14ac:dyDescent="0.2">
      <c r="A32" s="81"/>
      <c r="B32" s="100" t="s">
        <v>61</v>
      </c>
      <c r="C32" s="101" t="s">
        <v>5</v>
      </c>
      <c r="D32" s="101" t="s">
        <v>12</v>
      </c>
      <c r="E32" s="101" t="s">
        <v>8</v>
      </c>
      <c r="F32" s="102">
        <v>31790.3</v>
      </c>
      <c r="G32" s="102"/>
      <c r="H32" s="102">
        <f>SUM(F32:G32)</f>
        <v>31790.3</v>
      </c>
      <c r="I32" s="102"/>
      <c r="J32" s="102"/>
      <c r="K32" s="102">
        <f>SUM(H32,J32)</f>
        <v>31790.3</v>
      </c>
      <c r="L32" s="103"/>
      <c r="M32" s="102"/>
      <c r="N32" s="102">
        <f>SUM(K32,M32)</f>
        <v>31790.3</v>
      </c>
      <c r="O32" s="103"/>
      <c r="P32" s="102">
        <v>2704.3</v>
      </c>
      <c r="Q32" s="102">
        <f>SUM(N32,P32)</f>
        <v>34494.6</v>
      </c>
      <c r="R32" s="82" t="s">
        <v>368</v>
      </c>
      <c r="S32" s="102">
        <f>-170.9</f>
        <v>-170.9</v>
      </c>
      <c r="T32" s="145">
        <f>SUM(Q32,S32)</f>
        <v>34323.699999999997</v>
      </c>
      <c r="U32" s="148" t="s">
        <v>483</v>
      </c>
    </row>
    <row r="33" spans="1:21" s="80" customFormat="1" ht="34.5" customHeight="1" collapsed="1" x14ac:dyDescent="0.2">
      <c r="A33" s="78"/>
      <c r="B33" s="96" t="s">
        <v>62</v>
      </c>
      <c r="C33" s="97" t="s">
        <v>5</v>
      </c>
      <c r="D33" s="97" t="s">
        <v>10</v>
      </c>
      <c r="E33" s="97" t="s">
        <v>3</v>
      </c>
      <c r="F33" s="98">
        <f>SUM(F34)</f>
        <v>4177</v>
      </c>
      <c r="G33" s="98">
        <f t="shared" ref="G33:T33" si="38">SUM(G34)</f>
        <v>0</v>
      </c>
      <c r="H33" s="98">
        <f t="shared" si="38"/>
        <v>4177</v>
      </c>
      <c r="I33" s="98"/>
      <c r="J33" s="98">
        <f t="shared" si="38"/>
        <v>0</v>
      </c>
      <c r="K33" s="98">
        <f t="shared" si="38"/>
        <v>4177</v>
      </c>
      <c r="L33" s="99"/>
      <c r="M33" s="98">
        <f t="shared" si="38"/>
        <v>0</v>
      </c>
      <c r="N33" s="98">
        <f t="shared" si="38"/>
        <v>4177</v>
      </c>
      <c r="O33" s="99"/>
      <c r="P33" s="98">
        <f t="shared" si="38"/>
        <v>0</v>
      </c>
      <c r="Q33" s="98">
        <f t="shared" si="38"/>
        <v>4177</v>
      </c>
      <c r="R33" s="79"/>
      <c r="S33" s="98">
        <f t="shared" si="38"/>
        <v>-325</v>
      </c>
      <c r="T33" s="144">
        <f t="shared" si="38"/>
        <v>3852</v>
      </c>
      <c r="U33" s="151" t="s">
        <v>436</v>
      </c>
    </row>
    <row r="34" spans="1:21" ht="27.75" hidden="1" customHeight="1" outlineLevel="1" x14ac:dyDescent="0.2">
      <c r="A34" s="81"/>
      <c r="B34" s="100" t="s">
        <v>63</v>
      </c>
      <c r="C34" s="101" t="s">
        <v>5</v>
      </c>
      <c r="D34" s="101" t="s">
        <v>10</v>
      </c>
      <c r="E34" s="101" t="s">
        <v>8</v>
      </c>
      <c r="F34" s="102">
        <v>4177</v>
      </c>
      <c r="G34" s="102"/>
      <c r="H34" s="102">
        <f>SUM(F34:G34)</f>
        <v>4177</v>
      </c>
      <c r="I34" s="102"/>
      <c r="J34" s="102"/>
      <c r="K34" s="102">
        <f>SUM(H34,J34)</f>
        <v>4177</v>
      </c>
      <c r="L34" s="103"/>
      <c r="M34" s="102"/>
      <c r="N34" s="102">
        <f>SUM(K34,M34)</f>
        <v>4177</v>
      </c>
      <c r="O34" s="103"/>
      <c r="P34" s="102"/>
      <c r="Q34" s="102">
        <f>SUM(N34,P34)</f>
        <v>4177</v>
      </c>
      <c r="R34" s="82"/>
      <c r="S34" s="102">
        <v>-325</v>
      </c>
      <c r="T34" s="145">
        <f>SUM(Q34,S34)</f>
        <v>3852</v>
      </c>
      <c r="U34" s="148" t="s">
        <v>436</v>
      </c>
    </row>
    <row r="35" spans="1:21" s="77" customFormat="1" ht="34.5" customHeight="1" collapsed="1" x14ac:dyDescent="0.2">
      <c r="A35" s="75"/>
      <c r="B35" s="92" t="s">
        <v>64</v>
      </c>
      <c r="C35" s="93" t="s">
        <v>4</v>
      </c>
      <c r="D35" s="93" t="s">
        <v>3</v>
      </c>
      <c r="E35" s="93" t="s">
        <v>3</v>
      </c>
      <c r="F35" s="94">
        <f>SUM(F36,F40,F44)</f>
        <v>415648</v>
      </c>
      <c r="G35" s="94">
        <f t="shared" ref="G35:H35" si="39">SUM(G36,G40,G44)</f>
        <v>117.2</v>
      </c>
      <c r="H35" s="94">
        <f t="shared" si="39"/>
        <v>415765.2</v>
      </c>
      <c r="I35" s="94"/>
      <c r="J35" s="94">
        <f t="shared" ref="J35:K35" si="40">SUM(J36,J40,J44)</f>
        <v>15574.8</v>
      </c>
      <c r="K35" s="94">
        <f t="shared" si="40"/>
        <v>431340</v>
      </c>
      <c r="L35" s="95"/>
      <c r="M35" s="94">
        <f>SUM(M36,M40,M44)</f>
        <v>2224.1999999999998</v>
      </c>
      <c r="N35" s="94">
        <f t="shared" ref="N35" si="41">SUM(N36,N40,N44)</f>
        <v>433564.2</v>
      </c>
      <c r="O35" s="95"/>
      <c r="P35" s="94">
        <f>SUM(P36,P40,P44)</f>
        <v>2180.2999999999993</v>
      </c>
      <c r="Q35" s="94">
        <f t="shared" ref="Q35" si="42">SUM(Q36,Q40,Q44)</f>
        <v>435744.5</v>
      </c>
      <c r="R35" s="76"/>
      <c r="S35" s="94">
        <f>SUM(S36,S40,S44)</f>
        <v>-491.5</v>
      </c>
      <c r="T35" s="127">
        <f>SUM(T36,T40,T44)</f>
        <v>435253</v>
      </c>
      <c r="U35" s="150"/>
    </row>
    <row r="36" spans="1:21" s="80" customFormat="1" ht="81.75" customHeight="1" x14ac:dyDescent="0.2">
      <c r="A36" s="78"/>
      <c r="B36" s="96" t="s">
        <v>65</v>
      </c>
      <c r="C36" s="97" t="s">
        <v>4</v>
      </c>
      <c r="D36" s="97" t="s">
        <v>12</v>
      </c>
      <c r="E36" s="97" t="s">
        <v>3</v>
      </c>
      <c r="F36" s="98">
        <f>SUM(F37:F39)</f>
        <v>8570.2000000000007</v>
      </c>
      <c r="G36" s="98">
        <f t="shared" ref="G36:H36" si="43">SUM(G37:G39)</f>
        <v>117.2</v>
      </c>
      <c r="H36" s="98">
        <f t="shared" si="43"/>
        <v>8687.4</v>
      </c>
      <c r="I36" s="99" t="s">
        <v>254</v>
      </c>
      <c r="J36" s="98">
        <f t="shared" ref="J36:K36" si="44">SUM(J37:J39)</f>
        <v>12326.8</v>
      </c>
      <c r="K36" s="98">
        <f t="shared" si="44"/>
        <v>21014.199999999997</v>
      </c>
      <c r="L36" s="99" t="s">
        <v>244</v>
      </c>
      <c r="M36" s="98">
        <f t="shared" ref="M36:N36" si="45">SUM(M37:M39)</f>
        <v>121.00000000000001</v>
      </c>
      <c r="N36" s="98">
        <f t="shared" si="45"/>
        <v>21135.199999999997</v>
      </c>
      <c r="O36" s="99" t="s">
        <v>312</v>
      </c>
      <c r="P36" s="98">
        <f t="shared" ref="P36" si="46">SUM(P37:P39)</f>
        <v>826.5</v>
      </c>
      <c r="Q36" s="98">
        <f>SUM(Q37:Q39)</f>
        <v>21961.699999999997</v>
      </c>
      <c r="R36" s="79" t="s">
        <v>415</v>
      </c>
      <c r="S36" s="98">
        <f t="shared" ref="S36:T36" si="47">SUM(S37:S39)</f>
        <v>0</v>
      </c>
      <c r="T36" s="144">
        <f t="shared" si="47"/>
        <v>21961.699999999997</v>
      </c>
      <c r="U36" s="151"/>
    </row>
    <row r="37" spans="1:21" ht="44.25" hidden="1" customHeight="1" outlineLevel="1" x14ac:dyDescent="0.2">
      <c r="A37" s="81"/>
      <c r="B37" s="100" t="s">
        <v>66</v>
      </c>
      <c r="C37" s="101" t="s">
        <v>4</v>
      </c>
      <c r="D37" s="101" t="s">
        <v>12</v>
      </c>
      <c r="E37" s="101" t="s">
        <v>8</v>
      </c>
      <c r="F37" s="102">
        <v>500</v>
      </c>
      <c r="G37" s="102">
        <f>17.2+105.8</f>
        <v>123</v>
      </c>
      <c r="H37" s="102">
        <f>SUM(F37:G37)</f>
        <v>623</v>
      </c>
      <c r="I37" s="103" t="s">
        <v>255</v>
      </c>
      <c r="J37" s="102">
        <f>3+453.2</f>
        <v>456.2</v>
      </c>
      <c r="K37" s="102">
        <f t="shared" ref="K37:K39" si="48">SUM(H37,J37)</f>
        <v>1079.2</v>
      </c>
      <c r="L37" s="103" t="s">
        <v>203</v>
      </c>
      <c r="M37" s="102">
        <f>-10.8</f>
        <v>-10.8</v>
      </c>
      <c r="N37" s="102">
        <f t="shared" ref="N37:N39" si="49">SUM(K37,M37)</f>
        <v>1068.4000000000001</v>
      </c>
      <c r="O37" s="103" t="s">
        <v>279</v>
      </c>
      <c r="P37" s="102">
        <v>-1.8</v>
      </c>
      <c r="Q37" s="102">
        <f t="shared" ref="Q37:Q39" si="50">SUM(N37,P37)</f>
        <v>1066.6000000000001</v>
      </c>
      <c r="R37" s="82" t="s">
        <v>339</v>
      </c>
      <c r="S37" s="102"/>
      <c r="T37" s="145">
        <f t="shared" ref="T37:T39" si="51">SUM(Q37,S37)</f>
        <v>1066.6000000000001</v>
      </c>
      <c r="U37" s="148"/>
    </row>
    <row r="38" spans="1:21" ht="235.5" hidden="1" customHeight="1" outlineLevel="1" x14ac:dyDescent="0.2">
      <c r="A38" s="81"/>
      <c r="B38" s="100" t="s">
        <v>67</v>
      </c>
      <c r="C38" s="101" t="s">
        <v>4</v>
      </c>
      <c r="D38" s="101" t="s">
        <v>12</v>
      </c>
      <c r="E38" s="101" t="s">
        <v>13</v>
      </c>
      <c r="F38" s="102">
        <v>5615</v>
      </c>
      <c r="G38" s="102">
        <f>100</f>
        <v>100</v>
      </c>
      <c r="H38" s="102">
        <f t="shared" ref="H38:H39" si="52">SUM(F38:G38)</f>
        <v>5715</v>
      </c>
      <c r="I38" s="103" t="s">
        <v>183</v>
      </c>
      <c r="J38" s="102"/>
      <c r="K38" s="102">
        <f t="shared" si="48"/>
        <v>5715</v>
      </c>
      <c r="L38" s="103"/>
      <c r="M38" s="102">
        <f>50+200-123.2+5</f>
        <v>131.80000000000001</v>
      </c>
      <c r="N38" s="102">
        <f t="shared" si="49"/>
        <v>5846.8</v>
      </c>
      <c r="O38" s="103" t="s">
        <v>290</v>
      </c>
      <c r="P38" s="102">
        <f>859-34.2-164.5+168</f>
        <v>828.3</v>
      </c>
      <c r="Q38" s="102">
        <f>SUM(N38,P38)</f>
        <v>6675.1</v>
      </c>
      <c r="R38" s="82" t="s">
        <v>414</v>
      </c>
      <c r="S38" s="102"/>
      <c r="T38" s="145">
        <f t="shared" si="51"/>
        <v>6675.1</v>
      </c>
      <c r="U38" s="148"/>
    </row>
    <row r="39" spans="1:21" ht="16.5" hidden="1" customHeight="1" outlineLevel="1" x14ac:dyDescent="0.2">
      <c r="A39" s="81"/>
      <c r="B39" s="100" t="s">
        <v>343</v>
      </c>
      <c r="C39" s="101" t="s">
        <v>4</v>
      </c>
      <c r="D39" s="101" t="s">
        <v>12</v>
      </c>
      <c r="E39" s="101" t="s">
        <v>31</v>
      </c>
      <c r="F39" s="102">
        <v>2455.1999999999998</v>
      </c>
      <c r="G39" s="102">
        <v>-105.8</v>
      </c>
      <c r="H39" s="102">
        <f t="shared" si="52"/>
        <v>2349.3999999999996</v>
      </c>
      <c r="I39" s="103" t="s">
        <v>186</v>
      </c>
      <c r="J39" s="102">
        <f>12323.8-453.2</f>
        <v>11870.599999999999</v>
      </c>
      <c r="K39" s="102">
        <f t="shared" si="48"/>
        <v>14219.999999999998</v>
      </c>
      <c r="L39" s="103" t="s">
        <v>243</v>
      </c>
      <c r="M39" s="102"/>
      <c r="N39" s="102">
        <f t="shared" si="49"/>
        <v>14219.999999999998</v>
      </c>
      <c r="O39" s="103"/>
      <c r="P39" s="102"/>
      <c r="Q39" s="102">
        <f t="shared" si="50"/>
        <v>14219.999999999998</v>
      </c>
      <c r="R39" s="82"/>
      <c r="S39" s="102"/>
      <c r="T39" s="145">
        <f t="shared" si="51"/>
        <v>14219.999999999998</v>
      </c>
      <c r="U39" s="148"/>
    </row>
    <row r="40" spans="1:21" s="80" customFormat="1" ht="114.75" customHeight="1" collapsed="1" x14ac:dyDescent="0.2">
      <c r="A40" s="78"/>
      <c r="B40" s="96" t="s">
        <v>68</v>
      </c>
      <c r="C40" s="97" t="s">
        <v>4</v>
      </c>
      <c r="D40" s="97" t="s">
        <v>10</v>
      </c>
      <c r="E40" s="97" t="s">
        <v>3</v>
      </c>
      <c r="F40" s="98">
        <f>SUM(F41:F43)</f>
        <v>5225</v>
      </c>
      <c r="G40" s="98">
        <f t="shared" ref="G40:H40" si="53">SUM(G41:G43)</f>
        <v>0</v>
      </c>
      <c r="H40" s="98">
        <f t="shared" si="53"/>
        <v>5225</v>
      </c>
      <c r="I40" s="98"/>
      <c r="J40" s="98">
        <f t="shared" ref="J40:K40" si="54">SUM(J41:J43)</f>
        <v>0</v>
      </c>
      <c r="K40" s="98">
        <f t="shared" si="54"/>
        <v>5225</v>
      </c>
      <c r="L40" s="99"/>
      <c r="M40" s="98">
        <f t="shared" ref="M40:N40" si="55">SUM(M41:M43)</f>
        <v>1980</v>
      </c>
      <c r="N40" s="98">
        <f t="shared" si="55"/>
        <v>7205</v>
      </c>
      <c r="O40" s="99" t="s">
        <v>320</v>
      </c>
      <c r="P40" s="98">
        <f t="shared" ref="P40:Q40" si="56">SUM(P41:P43)</f>
        <v>-1027.0999999999999</v>
      </c>
      <c r="Q40" s="98">
        <f t="shared" si="56"/>
        <v>6177.9</v>
      </c>
      <c r="R40" s="79" t="s">
        <v>361</v>
      </c>
      <c r="S40" s="98">
        <f t="shared" ref="S40:T40" si="57">SUM(S41:S43)</f>
        <v>-3</v>
      </c>
      <c r="T40" s="144">
        <f t="shared" si="57"/>
        <v>6174.9</v>
      </c>
      <c r="U40" s="151" t="s">
        <v>467</v>
      </c>
    </row>
    <row r="41" spans="1:21" ht="35.25" hidden="1" customHeight="1" outlineLevel="1" x14ac:dyDescent="0.2">
      <c r="A41" s="81"/>
      <c r="B41" s="100" t="s">
        <v>69</v>
      </c>
      <c r="C41" s="101" t="s">
        <v>4</v>
      </c>
      <c r="D41" s="101" t="s">
        <v>10</v>
      </c>
      <c r="E41" s="101" t="s">
        <v>8</v>
      </c>
      <c r="F41" s="102">
        <v>250</v>
      </c>
      <c r="G41" s="102"/>
      <c r="H41" s="102">
        <f>SUM(F41:G41)</f>
        <v>250</v>
      </c>
      <c r="I41" s="102"/>
      <c r="J41" s="102"/>
      <c r="K41" s="102">
        <f t="shared" ref="K41:K43" si="58">SUM(H41,J41)</f>
        <v>250</v>
      </c>
      <c r="L41" s="103"/>
      <c r="M41" s="102"/>
      <c r="N41" s="102">
        <f t="shared" ref="N41:N43" si="59">SUM(K41,M41)</f>
        <v>250</v>
      </c>
      <c r="O41" s="103"/>
      <c r="P41" s="102"/>
      <c r="Q41" s="102">
        <f t="shared" ref="Q41:Q43" si="60">SUM(N41,P41)</f>
        <v>250</v>
      </c>
      <c r="R41" s="82"/>
      <c r="S41" s="102">
        <f>-30</f>
        <v>-30</v>
      </c>
      <c r="T41" s="145">
        <f t="shared" ref="T41:T43" si="61">SUM(Q41,S41)</f>
        <v>220</v>
      </c>
      <c r="U41" s="148" t="s">
        <v>426</v>
      </c>
    </row>
    <row r="42" spans="1:21" ht="97.5" hidden="1" customHeight="1" outlineLevel="1" x14ac:dyDescent="0.2">
      <c r="A42" s="81"/>
      <c r="B42" s="100" t="s">
        <v>70</v>
      </c>
      <c r="C42" s="101" t="s">
        <v>4</v>
      </c>
      <c r="D42" s="101" t="s">
        <v>10</v>
      </c>
      <c r="E42" s="101" t="s">
        <v>13</v>
      </c>
      <c r="F42" s="102">
        <v>4635</v>
      </c>
      <c r="G42" s="102"/>
      <c r="H42" s="102">
        <f t="shared" ref="H42:H43" si="62">SUM(F42:G42)</f>
        <v>4635</v>
      </c>
      <c r="I42" s="102"/>
      <c r="J42" s="102"/>
      <c r="K42" s="102">
        <f t="shared" si="58"/>
        <v>4635</v>
      </c>
      <c r="L42" s="103"/>
      <c r="M42" s="102">
        <f>435+1050+500-200-5+200</f>
        <v>1980</v>
      </c>
      <c r="N42" s="102">
        <f t="shared" si="59"/>
        <v>6615</v>
      </c>
      <c r="O42" s="103" t="s">
        <v>321</v>
      </c>
      <c r="P42" s="102">
        <v>-1027.0999999999999</v>
      </c>
      <c r="Q42" s="102">
        <f t="shared" si="60"/>
        <v>5587.9</v>
      </c>
      <c r="R42" s="82" t="s">
        <v>361</v>
      </c>
      <c r="S42" s="102">
        <f>-66.4+93.4</f>
        <v>27</v>
      </c>
      <c r="T42" s="145">
        <f t="shared" si="61"/>
        <v>5614.9</v>
      </c>
      <c r="U42" s="148" t="s">
        <v>466</v>
      </c>
    </row>
    <row r="43" spans="1:21" ht="10.5" hidden="1" customHeight="1" outlineLevel="1" x14ac:dyDescent="0.2">
      <c r="A43" s="81"/>
      <c r="B43" s="100" t="s">
        <v>71</v>
      </c>
      <c r="C43" s="101" t="s">
        <v>4</v>
      </c>
      <c r="D43" s="101" t="s">
        <v>10</v>
      </c>
      <c r="E43" s="101" t="s">
        <v>6</v>
      </c>
      <c r="F43" s="102">
        <v>340</v>
      </c>
      <c r="G43" s="102"/>
      <c r="H43" s="102">
        <f t="shared" si="62"/>
        <v>340</v>
      </c>
      <c r="I43" s="102"/>
      <c r="J43" s="102"/>
      <c r="K43" s="102">
        <f t="shared" si="58"/>
        <v>340</v>
      </c>
      <c r="L43" s="103"/>
      <c r="M43" s="102"/>
      <c r="N43" s="102">
        <f t="shared" si="59"/>
        <v>340</v>
      </c>
      <c r="O43" s="103"/>
      <c r="P43" s="102"/>
      <c r="Q43" s="102">
        <f t="shared" si="60"/>
        <v>340</v>
      </c>
      <c r="R43" s="82"/>
      <c r="S43" s="102"/>
      <c r="T43" s="145">
        <f t="shared" si="61"/>
        <v>340</v>
      </c>
      <c r="U43" s="148"/>
    </row>
    <row r="44" spans="1:21" s="80" customFormat="1" ht="60.75" customHeight="1" collapsed="1" x14ac:dyDescent="0.2">
      <c r="A44" s="78"/>
      <c r="B44" s="96" t="s">
        <v>72</v>
      </c>
      <c r="C44" s="97" t="s">
        <v>4</v>
      </c>
      <c r="D44" s="97" t="s">
        <v>14</v>
      </c>
      <c r="E44" s="97" t="s">
        <v>3</v>
      </c>
      <c r="F44" s="98">
        <f>SUM(F45)</f>
        <v>401852.8</v>
      </c>
      <c r="G44" s="98">
        <f t="shared" ref="G44:T44" si="63">SUM(G45)</f>
        <v>0</v>
      </c>
      <c r="H44" s="98">
        <f t="shared" si="63"/>
        <v>401852.8</v>
      </c>
      <c r="I44" s="99"/>
      <c r="J44" s="98">
        <f t="shared" si="63"/>
        <v>3248</v>
      </c>
      <c r="K44" s="98">
        <f t="shared" si="63"/>
        <v>405100.79999999999</v>
      </c>
      <c r="L44" s="99" t="s">
        <v>228</v>
      </c>
      <c r="M44" s="98">
        <f t="shared" si="63"/>
        <v>123.2</v>
      </c>
      <c r="N44" s="98">
        <f t="shared" si="63"/>
        <v>405224</v>
      </c>
      <c r="O44" s="99" t="s">
        <v>307</v>
      </c>
      <c r="P44" s="98">
        <f t="shared" si="63"/>
        <v>2380.8999999999992</v>
      </c>
      <c r="Q44" s="98">
        <f t="shared" si="63"/>
        <v>407604.9</v>
      </c>
      <c r="R44" s="79" t="s">
        <v>406</v>
      </c>
      <c r="S44" s="98">
        <f t="shared" si="63"/>
        <v>-488.5</v>
      </c>
      <c r="T44" s="144">
        <f t="shared" si="63"/>
        <v>407116.4</v>
      </c>
      <c r="U44" s="151" t="s">
        <v>465</v>
      </c>
    </row>
    <row r="45" spans="1:21" ht="79.5" hidden="1" customHeight="1" outlineLevel="1" x14ac:dyDescent="0.2">
      <c r="A45" s="81"/>
      <c r="B45" s="100" t="s">
        <v>73</v>
      </c>
      <c r="C45" s="101" t="s">
        <v>4</v>
      </c>
      <c r="D45" s="101" t="s">
        <v>14</v>
      </c>
      <c r="E45" s="101" t="s">
        <v>8</v>
      </c>
      <c r="F45" s="102">
        <v>401852.8</v>
      </c>
      <c r="G45" s="102"/>
      <c r="H45" s="102">
        <f>SUM(F45:G45)</f>
        <v>401852.8</v>
      </c>
      <c r="I45" s="103"/>
      <c r="J45" s="102">
        <f>-3+3251</f>
        <v>3248</v>
      </c>
      <c r="K45" s="102">
        <f>SUM(H45,J45)</f>
        <v>405100.79999999999</v>
      </c>
      <c r="L45" s="103" t="s">
        <v>211</v>
      </c>
      <c r="M45" s="102">
        <v>123.2</v>
      </c>
      <c r="N45" s="102">
        <f>SUM(K45,M45)</f>
        <v>405224</v>
      </c>
      <c r="O45" s="103" t="s">
        <v>291</v>
      </c>
      <c r="P45" s="102">
        <f>269.9+4714.5+816.9+34.2-3454.6</f>
        <v>2380.8999999999992</v>
      </c>
      <c r="Q45" s="102">
        <f>SUM(N45,P45)</f>
        <v>407604.9</v>
      </c>
      <c r="R45" s="82" t="s">
        <v>407</v>
      </c>
      <c r="S45" s="102">
        <f>30-93.4-425.1</f>
        <v>-488.5</v>
      </c>
      <c r="T45" s="145">
        <f>SUM(Q45,S45)</f>
        <v>407116.4</v>
      </c>
      <c r="U45" s="148" t="s">
        <v>464</v>
      </c>
    </row>
    <row r="46" spans="1:21" s="77" customFormat="1" ht="39.75" customHeight="1" collapsed="1" x14ac:dyDescent="0.2">
      <c r="A46" s="75"/>
      <c r="B46" s="92" t="s">
        <v>74</v>
      </c>
      <c r="C46" s="93" t="s">
        <v>0</v>
      </c>
      <c r="D46" s="93" t="s">
        <v>3</v>
      </c>
      <c r="E46" s="93" t="s">
        <v>3</v>
      </c>
      <c r="F46" s="94">
        <f>SUM(F47)</f>
        <v>400</v>
      </c>
      <c r="G46" s="94">
        <f t="shared" ref="G46:T46" si="64">SUM(G47)</f>
        <v>0</v>
      </c>
      <c r="H46" s="94">
        <f t="shared" si="64"/>
        <v>400</v>
      </c>
      <c r="I46" s="94"/>
      <c r="J46" s="94">
        <f t="shared" si="64"/>
        <v>60</v>
      </c>
      <c r="K46" s="94">
        <f t="shared" si="64"/>
        <v>460</v>
      </c>
      <c r="L46" s="104" t="s">
        <v>219</v>
      </c>
      <c r="M46" s="94">
        <f t="shared" si="64"/>
        <v>0</v>
      </c>
      <c r="N46" s="94">
        <f t="shared" si="64"/>
        <v>460</v>
      </c>
      <c r="O46" s="104"/>
      <c r="P46" s="94">
        <f t="shared" si="64"/>
        <v>0</v>
      </c>
      <c r="Q46" s="94">
        <f t="shared" si="64"/>
        <v>460</v>
      </c>
      <c r="R46" s="83"/>
      <c r="S46" s="94">
        <f t="shared" si="64"/>
        <v>-81.2</v>
      </c>
      <c r="T46" s="127">
        <f t="shared" si="64"/>
        <v>378.8</v>
      </c>
      <c r="U46" s="150" t="s">
        <v>479</v>
      </c>
    </row>
    <row r="47" spans="1:21" ht="47.25" hidden="1" customHeight="1" outlineLevel="1" x14ac:dyDescent="0.2">
      <c r="A47" s="81"/>
      <c r="B47" s="100" t="s">
        <v>75</v>
      </c>
      <c r="C47" s="101" t="s">
        <v>0</v>
      </c>
      <c r="D47" s="101" t="s">
        <v>1</v>
      </c>
      <c r="E47" s="101" t="s">
        <v>8</v>
      </c>
      <c r="F47" s="102">
        <v>400</v>
      </c>
      <c r="G47" s="102"/>
      <c r="H47" s="102">
        <f>SUM(F47:G47)</f>
        <v>400</v>
      </c>
      <c r="I47" s="102"/>
      <c r="J47" s="102">
        <v>60</v>
      </c>
      <c r="K47" s="102">
        <f>SUM(H47,J47)</f>
        <v>460</v>
      </c>
      <c r="L47" s="103" t="s">
        <v>219</v>
      </c>
      <c r="M47" s="102"/>
      <c r="N47" s="102">
        <f>SUM(K47,M47)</f>
        <v>460</v>
      </c>
      <c r="O47" s="103"/>
      <c r="P47" s="102"/>
      <c r="Q47" s="102">
        <f>SUM(N47,P47)</f>
        <v>460</v>
      </c>
      <c r="R47" s="82"/>
      <c r="S47" s="102">
        <v>-81.2</v>
      </c>
      <c r="T47" s="145">
        <f>SUM(Q47,S47)</f>
        <v>378.8</v>
      </c>
      <c r="U47" s="148" t="s">
        <v>479</v>
      </c>
    </row>
    <row r="48" spans="1:21" s="77" customFormat="1" ht="46.5" customHeight="1" collapsed="1" x14ac:dyDescent="0.2">
      <c r="A48" s="75"/>
      <c r="B48" s="92" t="s">
        <v>76</v>
      </c>
      <c r="C48" s="93" t="s">
        <v>30</v>
      </c>
      <c r="D48" s="93" t="s">
        <v>3</v>
      </c>
      <c r="E48" s="93" t="s">
        <v>3</v>
      </c>
      <c r="F48" s="94">
        <f>SUM(F49:F50)</f>
        <v>17769.099999999999</v>
      </c>
      <c r="G48" s="94">
        <f t="shared" ref="G48:H48" si="65">SUM(G49:G50)</f>
        <v>0</v>
      </c>
      <c r="H48" s="94">
        <f t="shared" si="65"/>
        <v>17769.099999999999</v>
      </c>
      <c r="I48" s="94"/>
      <c r="J48" s="94">
        <f t="shared" ref="J48:K48" si="66">SUM(J49:J50)</f>
        <v>0</v>
      </c>
      <c r="K48" s="94">
        <f t="shared" si="66"/>
        <v>17769.099999999999</v>
      </c>
      <c r="L48" s="95"/>
      <c r="M48" s="94">
        <f t="shared" ref="M48:N48" si="67">SUM(M49:M50)</f>
        <v>0</v>
      </c>
      <c r="N48" s="94">
        <f t="shared" si="67"/>
        <v>17769.099999999999</v>
      </c>
      <c r="O48" s="104"/>
      <c r="P48" s="94">
        <f t="shared" ref="P48:Q48" si="68">SUM(P49:P50)</f>
        <v>579.70000000000005</v>
      </c>
      <c r="Q48" s="94">
        <f t="shared" si="68"/>
        <v>18348.8</v>
      </c>
      <c r="R48" s="83" t="s">
        <v>398</v>
      </c>
      <c r="S48" s="94">
        <f t="shared" ref="S48:T48" si="69">SUM(S49:S50)</f>
        <v>290</v>
      </c>
      <c r="T48" s="127">
        <f t="shared" si="69"/>
        <v>18638.8</v>
      </c>
      <c r="U48" s="150" t="s">
        <v>443</v>
      </c>
    </row>
    <row r="49" spans="1:21" ht="108" hidden="1" customHeight="1" outlineLevel="1" x14ac:dyDescent="0.2">
      <c r="A49" s="81"/>
      <c r="B49" s="100" t="s">
        <v>77</v>
      </c>
      <c r="C49" s="101" t="s">
        <v>30</v>
      </c>
      <c r="D49" s="101" t="s">
        <v>1</v>
      </c>
      <c r="E49" s="101" t="s">
        <v>8</v>
      </c>
      <c r="F49" s="102">
        <v>17751.099999999999</v>
      </c>
      <c r="G49" s="102"/>
      <c r="H49" s="102">
        <f>SUM(F49:G49)</f>
        <v>17751.099999999999</v>
      </c>
      <c r="I49" s="102"/>
      <c r="J49" s="102"/>
      <c r="K49" s="102">
        <f t="shared" ref="K49:K50" si="70">SUM(H49,J49)</f>
        <v>17751.099999999999</v>
      </c>
      <c r="L49" s="103"/>
      <c r="M49" s="102"/>
      <c r="N49" s="102">
        <f t="shared" ref="N49:N50" si="71">SUM(K49,M49)</f>
        <v>17751.099999999999</v>
      </c>
      <c r="O49" s="103"/>
      <c r="P49" s="102">
        <f>-20.3+250+350</f>
        <v>579.70000000000005</v>
      </c>
      <c r="Q49" s="102">
        <f t="shared" ref="Q49:Q50" si="72">SUM(N49,P49)</f>
        <v>18330.8</v>
      </c>
      <c r="R49" s="82" t="s">
        <v>376</v>
      </c>
      <c r="S49" s="102">
        <f>290</f>
        <v>290</v>
      </c>
      <c r="T49" s="145">
        <f t="shared" ref="T49:T50" si="73">SUM(Q49,S49)</f>
        <v>18620.8</v>
      </c>
      <c r="U49" s="149" t="s">
        <v>443</v>
      </c>
    </row>
    <row r="50" spans="1:21" ht="12.75" hidden="1" customHeight="1" outlineLevel="1" x14ac:dyDescent="0.2">
      <c r="A50" s="81"/>
      <c r="B50" s="100" t="s">
        <v>179</v>
      </c>
      <c r="C50" s="101" t="s">
        <v>30</v>
      </c>
      <c r="D50" s="101" t="s">
        <v>1</v>
      </c>
      <c r="E50" s="101" t="s">
        <v>7</v>
      </c>
      <c r="F50" s="102">
        <v>18</v>
      </c>
      <c r="G50" s="102"/>
      <c r="H50" s="102">
        <f>SUM(F50:G50)</f>
        <v>18</v>
      </c>
      <c r="I50" s="102"/>
      <c r="J50" s="102"/>
      <c r="K50" s="102">
        <f t="shared" si="70"/>
        <v>18</v>
      </c>
      <c r="L50" s="103"/>
      <c r="M50" s="102"/>
      <c r="N50" s="102">
        <f t="shared" si="71"/>
        <v>18</v>
      </c>
      <c r="O50" s="103"/>
      <c r="P50" s="102"/>
      <c r="Q50" s="102">
        <f t="shared" si="72"/>
        <v>18</v>
      </c>
      <c r="R50" s="82"/>
      <c r="S50" s="102"/>
      <c r="T50" s="145">
        <f t="shared" si="73"/>
        <v>18</v>
      </c>
      <c r="U50" s="148"/>
    </row>
    <row r="51" spans="1:21" s="77" customFormat="1" ht="114.75" customHeight="1" collapsed="1" x14ac:dyDescent="0.2">
      <c r="A51" s="75"/>
      <c r="B51" s="92" t="s">
        <v>78</v>
      </c>
      <c r="C51" s="93" t="s">
        <v>29</v>
      </c>
      <c r="D51" s="93" t="s">
        <v>3</v>
      </c>
      <c r="E51" s="93" t="s">
        <v>3</v>
      </c>
      <c r="F51" s="94">
        <f>SUM(F52,F57)</f>
        <v>172379.80000000002</v>
      </c>
      <c r="G51" s="94">
        <f t="shared" ref="G51:H51" si="74">SUM(G52,G57)</f>
        <v>8552.1</v>
      </c>
      <c r="H51" s="94">
        <f t="shared" si="74"/>
        <v>179946.6</v>
      </c>
      <c r="I51" s="94"/>
      <c r="J51" s="94">
        <f t="shared" ref="J51:K51" si="75">SUM(J52,J57)</f>
        <v>145354.9</v>
      </c>
      <c r="K51" s="94">
        <f t="shared" si="75"/>
        <v>325301.5</v>
      </c>
      <c r="L51" s="95"/>
      <c r="M51" s="94">
        <f t="shared" ref="M51:N51" si="76">SUM(M52,M57)</f>
        <v>551.20000000000005</v>
      </c>
      <c r="N51" s="94">
        <f t="shared" si="76"/>
        <v>325852.69999999995</v>
      </c>
      <c r="O51" s="95"/>
      <c r="P51" s="94">
        <f t="shared" ref="P51:Q51" si="77">SUM(P52,P57)</f>
        <v>-5325</v>
      </c>
      <c r="Q51" s="94">
        <f t="shared" si="77"/>
        <v>320527.69999999995</v>
      </c>
      <c r="R51" s="76"/>
      <c r="S51" s="94">
        <f t="shared" ref="S51:T51" si="78">SUM(S52,S57)</f>
        <v>-1563.4</v>
      </c>
      <c r="T51" s="127">
        <f t="shared" si="78"/>
        <v>318964.3</v>
      </c>
      <c r="U51" s="150" t="s">
        <v>448</v>
      </c>
    </row>
    <row r="52" spans="1:21" s="80" customFormat="1" ht="94.5" customHeight="1" x14ac:dyDescent="0.2">
      <c r="A52" s="78"/>
      <c r="B52" s="96" t="s">
        <v>79</v>
      </c>
      <c r="C52" s="97" t="s">
        <v>29</v>
      </c>
      <c r="D52" s="97" t="s">
        <v>12</v>
      </c>
      <c r="E52" s="97" t="s">
        <v>3</v>
      </c>
      <c r="F52" s="98">
        <f>SUM(F53:F56)</f>
        <v>166748.70000000001</v>
      </c>
      <c r="G52" s="98">
        <f>SUM(G53:G56)</f>
        <v>7566.8</v>
      </c>
      <c r="H52" s="98">
        <f>SUM(H53:H56)</f>
        <v>174315.5</v>
      </c>
      <c r="I52" s="99" t="s">
        <v>190</v>
      </c>
      <c r="J52" s="98">
        <f>SUM(J53:J56)</f>
        <v>-7566.8</v>
      </c>
      <c r="K52" s="98">
        <f>SUM(K53:K56)</f>
        <v>166748.70000000001</v>
      </c>
      <c r="L52" s="99" t="s">
        <v>246</v>
      </c>
      <c r="M52" s="98">
        <f>SUM(M53:M56)</f>
        <v>0</v>
      </c>
      <c r="N52" s="98">
        <f>SUM(N53:N56)</f>
        <v>166748.70000000001</v>
      </c>
      <c r="O52" s="99"/>
      <c r="P52" s="98">
        <f>SUM(P53:P56)</f>
        <v>8442.2000000000007</v>
      </c>
      <c r="Q52" s="98">
        <f>SUM(Q53:Q56)</f>
        <v>175190.90000000002</v>
      </c>
      <c r="R52" s="79" t="s">
        <v>403</v>
      </c>
      <c r="S52" s="98">
        <f>SUM(S53:S56)</f>
        <v>-71.100000000000023</v>
      </c>
      <c r="T52" s="144">
        <f>SUM(T53:T56)</f>
        <v>175119.80000000002</v>
      </c>
      <c r="U52" s="151" t="s">
        <v>446</v>
      </c>
    </row>
    <row r="53" spans="1:21" ht="66" hidden="1" customHeight="1" outlineLevel="1" x14ac:dyDescent="0.2">
      <c r="A53" s="81"/>
      <c r="B53" s="100" t="s">
        <v>189</v>
      </c>
      <c r="C53" s="101" t="s">
        <v>29</v>
      </c>
      <c r="D53" s="101" t="s">
        <v>12</v>
      </c>
      <c r="E53" s="105" t="s">
        <v>8</v>
      </c>
      <c r="F53" s="102">
        <v>0</v>
      </c>
      <c r="G53" s="102">
        <v>7566.8</v>
      </c>
      <c r="H53" s="102">
        <f>SUM(F53:G53)</f>
        <v>7566.8</v>
      </c>
      <c r="I53" s="103" t="s">
        <v>190</v>
      </c>
      <c r="J53" s="102">
        <v>-7566.8</v>
      </c>
      <c r="K53" s="102">
        <f t="shared" ref="K53:K56" si="79">SUM(H53,J53)</f>
        <v>0</v>
      </c>
      <c r="L53" s="103"/>
      <c r="M53" s="102"/>
      <c r="N53" s="102">
        <f t="shared" ref="N53:N56" si="80">SUM(K53,M53)</f>
        <v>0</v>
      </c>
      <c r="O53" s="103"/>
      <c r="P53" s="102"/>
      <c r="Q53" s="102">
        <f t="shared" ref="Q53:Q56" si="81">SUM(N53,P53)</f>
        <v>0</v>
      </c>
      <c r="R53" s="82"/>
      <c r="S53" s="102">
        <f>100</f>
        <v>100</v>
      </c>
      <c r="T53" s="145">
        <f t="shared" ref="T53:T56" si="82">SUM(Q53,S53)</f>
        <v>100</v>
      </c>
      <c r="U53" s="148" t="s">
        <v>432</v>
      </c>
    </row>
    <row r="54" spans="1:21" ht="45" hidden="1" customHeight="1" outlineLevel="1" x14ac:dyDescent="0.2">
      <c r="A54" s="81"/>
      <c r="B54" s="100" t="s">
        <v>80</v>
      </c>
      <c r="C54" s="101" t="s">
        <v>29</v>
      </c>
      <c r="D54" s="101" t="s">
        <v>12</v>
      </c>
      <c r="E54" s="101" t="s">
        <v>13</v>
      </c>
      <c r="F54" s="102">
        <v>115.6</v>
      </c>
      <c r="G54" s="102"/>
      <c r="H54" s="102">
        <f>SUM(F54:G54)</f>
        <v>115.6</v>
      </c>
      <c r="I54" s="102"/>
      <c r="J54" s="102"/>
      <c r="K54" s="102">
        <f t="shared" si="79"/>
        <v>115.6</v>
      </c>
      <c r="L54" s="103"/>
      <c r="M54" s="102"/>
      <c r="N54" s="102">
        <f t="shared" si="80"/>
        <v>115.6</v>
      </c>
      <c r="O54" s="103"/>
      <c r="P54" s="102">
        <f>240</f>
        <v>240</v>
      </c>
      <c r="Q54" s="102">
        <f t="shared" si="81"/>
        <v>355.6</v>
      </c>
      <c r="R54" s="82" t="s">
        <v>338</v>
      </c>
      <c r="S54" s="102"/>
      <c r="T54" s="145">
        <f t="shared" si="82"/>
        <v>355.6</v>
      </c>
      <c r="U54" s="148"/>
    </row>
    <row r="55" spans="1:21" ht="57" hidden="1" customHeight="1" outlineLevel="1" x14ac:dyDescent="0.2">
      <c r="A55" s="81"/>
      <c r="B55" s="100" t="s">
        <v>256</v>
      </c>
      <c r="C55" s="101" t="s">
        <v>29</v>
      </c>
      <c r="D55" s="101" t="s">
        <v>12</v>
      </c>
      <c r="E55" s="101" t="s">
        <v>6</v>
      </c>
      <c r="F55" s="102">
        <v>4500</v>
      </c>
      <c r="G55" s="102"/>
      <c r="H55" s="102">
        <f t="shared" ref="H55:H56" si="83">SUM(F55:G55)</f>
        <v>4500</v>
      </c>
      <c r="I55" s="102"/>
      <c r="J55" s="102"/>
      <c r="K55" s="102">
        <f t="shared" si="79"/>
        <v>4500</v>
      </c>
      <c r="L55" s="103"/>
      <c r="M55" s="102"/>
      <c r="N55" s="102">
        <f t="shared" si="80"/>
        <v>4500</v>
      </c>
      <c r="O55" s="103"/>
      <c r="P55" s="102"/>
      <c r="Q55" s="102">
        <f t="shared" si="81"/>
        <v>4500</v>
      </c>
      <c r="R55" s="82"/>
      <c r="S55" s="102">
        <f>320</f>
        <v>320</v>
      </c>
      <c r="T55" s="145">
        <f t="shared" si="82"/>
        <v>4820</v>
      </c>
      <c r="U55" s="148" t="s">
        <v>431</v>
      </c>
    </row>
    <row r="56" spans="1:21" ht="169.5" hidden="1" customHeight="1" outlineLevel="1" x14ac:dyDescent="0.2">
      <c r="A56" s="81"/>
      <c r="B56" s="100" t="s">
        <v>81</v>
      </c>
      <c r="C56" s="101" t="s">
        <v>29</v>
      </c>
      <c r="D56" s="101" t="s">
        <v>12</v>
      </c>
      <c r="E56" s="101" t="s">
        <v>5</v>
      </c>
      <c r="F56" s="102">
        <v>162133.1</v>
      </c>
      <c r="G56" s="102"/>
      <c r="H56" s="102">
        <f t="shared" si="83"/>
        <v>162133.1</v>
      </c>
      <c r="I56" s="102"/>
      <c r="J56" s="102"/>
      <c r="K56" s="102">
        <f t="shared" si="79"/>
        <v>162133.1</v>
      </c>
      <c r="L56" s="103"/>
      <c r="M56" s="102"/>
      <c r="N56" s="102">
        <f t="shared" si="80"/>
        <v>162133.1</v>
      </c>
      <c r="O56" s="103"/>
      <c r="P56" s="102">
        <f>-240+1500+597.2+4000+1845+500</f>
        <v>8202.2000000000007</v>
      </c>
      <c r="Q56" s="102">
        <f t="shared" si="81"/>
        <v>170335.30000000002</v>
      </c>
      <c r="R56" s="82" t="s">
        <v>402</v>
      </c>
      <c r="S56" s="102">
        <f>-320-200+250-221.1</f>
        <v>-491.1</v>
      </c>
      <c r="T56" s="145">
        <f t="shared" si="82"/>
        <v>169844.2</v>
      </c>
      <c r="U56" s="148" t="s">
        <v>444</v>
      </c>
    </row>
    <row r="57" spans="1:21" s="80" customFormat="1" ht="136.5" customHeight="1" collapsed="1" x14ac:dyDescent="0.2">
      <c r="A57" s="78"/>
      <c r="B57" s="96" t="s">
        <v>82</v>
      </c>
      <c r="C57" s="97" t="s">
        <v>29</v>
      </c>
      <c r="D57" s="97" t="s">
        <v>10</v>
      </c>
      <c r="E57" s="97" t="s">
        <v>3</v>
      </c>
      <c r="F57" s="98">
        <v>5631.1</v>
      </c>
      <c r="G57" s="98">
        <f t="shared" ref="G57" si="84">SUM(G58:G59)</f>
        <v>985.3</v>
      </c>
      <c r="H57" s="98">
        <v>5631.1</v>
      </c>
      <c r="I57" s="106" t="s">
        <v>193</v>
      </c>
      <c r="J57" s="98">
        <f>SUM(J58:J60)</f>
        <v>152921.69999999998</v>
      </c>
      <c r="K57" s="98">
        <v>158552.79999999999</v>
      </c>
      <c r="L57" s="107" t="s">
        <v>248</v>
      </c>
      <c r="M57" s="98">
        <f>SUM(M58:M60)</f>
        <v>551.20000000000005</v>
      </c>
      <c r="N57" s="108">
        <f>SUM(N58:N60)</f>
        <v>159103.99999999997</v>
      </c>
      <c r="O57" s="109" t="s">
        <v>311</v>
      </c>
      <c r="P57" s="98">
        <f>SUM(P58:P60)</f>
        <v>-13767.2</v>
      </c>
      <c r="Q57" s="98">
        <f>SUM(Q58:Q60)</f>
        <v>145336.79999999996</v>
      </c>
      <c r="R57" s="129" t="s">
        <v>373</v>
      </c>
      <c r="S57" s="98">
        <f>SUM(S58:S60)</f>
        <v>-1492.3000000000002</v>
      </c>
      <c r="T57" s="147">
        <f>SUM(T58:T60)</f>
        <v>143844.49999999997</v>
      </c>
      <c r="U57" s="151" t="s">
        <v>456</v>
      </c>
    </row>
    <row r="58" spans="1:21" ht="185.25" hidden="1" customHeight="1" outlineLevel="1" x14ac:dyDescent="0.2">
      <c r="A58" s="81"/>
      <c r="B58" s="100" t="s">
        <v>257</v>
      </c>
      <c r="C58" s="101" t="s">
        <v>29</v>
      </c>
      <c r="D58" s="101" t="s">
        <v>10</v>
      </c>
      <c r="E58" s="101" t="s">
        <v>8</v>
      </c>
      <c r="F58" s="102">
        <v>3000</v>
      </c>
      <c r="G58" s="102"/>
      <c r="H58" s="102">
        <f>SUM(F58:G58)</f>
        <v>3000</v>
      </c>
      <c r="I58" s="102"/>
      <c r="J58" s="102">
        <f>200</f>
        <v>200</v>
      </c>
      <c r="K58" s="102">
        <f t="shared" ref="K58:K60" si="85">SUM(H58,J58)</f>
        <v>3200</v>
      </c>
      <c r="L58" s="103"/>
      <c r="M58" s="102">
        <f>50+501.2</f>
        <v>551.20000000000005</v>
      </c>
      <c r="N58" s="102">
        <f>SUM(K58,M58)-0.1</f>
        <v>3751.1</v>
      </c>
      <c r="O58" s="103" t="s">
        <v>283</v>
      </c>
      <c r="P58" s="102">
        <f>500</f>
        <v>500</v>
      </c>
      <c r="Q58" s="102">
        <v>4251.2</v>
      </c>
      <c r="R58" s="82" t="s">
        <v>359</v>
      </c>
      <c r="S58" s="102">
        <f xml:space="preserve"> -100+200+50+221.1</f>
        <v>371.1</v>
      </c>
      <c r="T58" s="145">
        <f t="shared" ref="T58:T60" si="86">SUM(Q58,S58)</f>
        <v>4622.3</v>
      </c>
      <c r="U58" s="148" t="s">
        <v>447</v>
      </c>
    </row>
    <row r="59" spans="1:21" ht="45" hidden="1" customHeight="1" outlineLevel="1" x14ac:dyDescent="0.2">
      <c r="A59" s="81"/>
      <c r="B59" s="100" t="s">
        <v>258</v>
      </c>
      <c r="C59" s="101" t="s">
        <v>29</v>
      </c>
      <c r="D59" s="101" t="s">
        <v>10</v>
      </c>
      <c r="E59" s="101" t="s">
        <v>13</v>
      </c>
      <c r="F59" s="102">
        <v>1645.9</v>
      </c>
      <c r="G59" s="102">
        <f>321.4+663.9</f>
        <v>985.3</v>
      </c>
      <c r="H59" s="102">
        <f>SUM(F59:G59)</f>
        <v>2631.2</v>
      </c>
      <c r="I59" s="110" t="s">
        <v>187</v>
      </c>
      <c r="J59" s="102"/>
      <c r="K59" s="102">
        <f t="shared" si="85"/>
        <v>2631.2</v>
      </c>
      <c r="L59" s="110"/>
      <c r="M59" s="102"/>
      <c r="N59" s="102">
        <f t="shared" ref="N59:N60" si="87">SUM(K59,M59)</f>
        <v>2631.2</v>
      </c>
      <c r="O59" s="110"/>
      <c r="P59" s="102">
        <v>895</v>
      </c>
      <c r="Q59" s="102">
        <v>3526.1</v>
      </c>
      <c r="R59" s="130" t="s">
        <v>336</v>
      </c>
      <c r="S59" s="102"/>
      <c r="T59" s="145">
        <f t="shared" si="86"/>
        <v>3526.1</v>
      </c>
      <c r="U59" s="148"/>
    </row>
    <row r="60" spans="1:21" ht="62.25" hidden="1" customHeight="1" outlineLevel="1" x14ac:dyDescent="0.2">
      <c r="A60" s="81"/>
      <c r="B60" s="100" t="s">
        <v>245</v>
      </c>
      <c r="C60" s="101" t="s">
        <v>29</v>
      </c>
      <c r="D60" s="101" t="s">
        <v>10</v>
      </c>
      <c r="E60" s="105" t="s">
        <v>6</v>
      </c>
      <c r="F60" s="102">
        <v>0</v>
      </c>
      <c r="G60" s="102"/>
      <c r="H60" s="102">
        <f>SUM(F60:G60)</f>
        <v>0</v>
      </c>
      <c r="I60" s="110"/>
      <c r="J60" s="102">
        <f>1386.6+143768.3+7566.8</f>
        <v>152721.69999999998</v>
      </c>
      <c r="K60" s="102">
        <f t="shared" si="85"/>
        <v>152721.69999999998</v>
      </c>
      <c r="L60" s="110" t="s">
        <v>247</v>
      </c>
      <c r="M60" s="102"/>
      <c r="N60" s="102">
        <f t="shared" si="87"/>
        <v>152721.69999999998</v>
      </c>
      <c r="O60" s="110"/>
      <c r="P60" s="102">
        <f>-14404.1-758.1</f>
        <v>-15162.2</v>
      </c>
      <c r="Q60" s="102">
        <f t="shared" ref="Q60" si="88">SUM(N60,P60)</f>
        <v>137559.49999999997</v>
      </c>
      <c r="R60" s="130" t="s">
        <v>366</v>
      </c>
      <c r="S60" s="102">
        <f>-1770.2-93.2</f>
        <v>-1863.4</v>
      </c>
      <c r="T60" s="145">
        <f t="shared" si="86"/>
        <v>135696.09999999998</v>
      </c>
      <c r="U60" s="148" t="s">
        <v>445</v>
      </c>
    </row>
    <row r="61" spans="1:21" s="77" customFormat="1" ht="118.5" customHeight="1" collapsed="1" x14ac:dyDescent="0.2">
      <c r="A61" s="75"/>
      <c r="B61" s="111" t="s">
        <v>83</v>
      </c>
      <c r="C61" s="93" t="s">
        <v>28</v>
      </c>
      <c r="D61" s="93" t="s">
        <v>3</v>
      </c>
      <c r="E61" s="93" t="s">
        <v>3</v>
      </c>
      <c r="F61" s="94">
        <f>SUM(F62:F64)</f>
        <v>61265.1</v>
      </c>
      <c r="G61" s="94">
        <f t="shared" ref="G61:H61" si="89">SUM(G62:G64)</f>
        <v>0</v>
      </c>
      <c r="H61" s="94">
        <f t="shared" si="89"/>
        <v>61265.1</v>
      </c>
      <c r="I61" s="94"/>
      <c r="J61" s="94">
        <f t="shared" ref="J61:K61" si="90">SUM(J62:J64)</f>
        <v>370</v>
      </c>
      <c r="K61" s="94">
        <f t="shared" si="90"/>
        <v>61635.1</v>
      </c>
      <c r="L61" s="104" t="s">
        <v>232</v>
      </c>
      <c r="M61" s="94">
        <f t="shared" ref="M61:N61" si="91">SUM(M62:M64)</f>
        <v>-4602.8</v>
      </c>
      <c r="N61" s="94">
        <f t="shared" si="91"/>
        <v>57032.3</v>
      </c>
      <c r="O61" s="104" t="s">
        <v>331</v>
      </c>
      <c r="P61" s="94">
        <f t="shared" ref="P61:Q61" si="92">SUM(P62:P64)</f>
        <v>8072.9000000000005</v>
      </c>
      <c r="Q61" s="94">
        <f t="shared" si="92"/>
        <v>65105.2</v>
      </c>
      <c r="R61" s="83" t="s">
        <v>394</v>
      </c>
      <c r="S61" s="94">
        <f t="shared" ref="S61:T61" si="93">SUM(S62:S64)</f>
        <v>-735.3</v>
      </c>
      <c r="T61" s="127">
        <f t="shared" si="93"/>
        <v>64369.899999999994</v>
      </c>
      <c r="U61" s="150" t="s">
        <v>468</v>
      </c>
    </row>
    <row r="62" spans="1:21" ht="41.25" hidden="1" customHeight="1" outlineLevel="1" x14ac:dyDescent="0.2">
      <c r="A62" s="81"/>
      <c r="B62" s="100" t="s">
        <v>84</v>
      </c>
      <c r="C62" s="101" t="s">
        <v>28</v>
      </c>
      <c r="D62" s="101" t="s">
        <v>1</v>
      </c>
      <c r="E62" s="101" t="s">
        <v>8</v>
      </c>
      <c r="F62" s="102">
        <v>44569.5</v>
      </c>
      <c r="G62" s="102"/>
      <c r="H62" s="102">
        <f>SUM(F62:G62)</f>
        <v>44569.5</v>
      </c>
      <c r="I62" s="102"/>
      <c r="J62" s="102"/>
      <c r="K62" s="102">
        <f t="shared" ref="K62:K64" si="94">SUM(H62,J62)</f>
        <v>44569.5</v>
      </c>
      <c r="L62" s="103"/>
      <c r="M62" s="102">
        <v>-4600</v>
      </c>
      <c r="N62" s="102">
        <f t="shared" ref="N62:N64" si="95">SUM(K62,M62)</f>
        <v>39969.5</v>
      </c>
      <c r="O62" s="103" t="s">
        <v>330</v>
      </c>
      <c r="P62" s="102">
        <f>2930-2065.4-500-250+1670+1400</f>
        <v>3184.6</v>
      </c>
      <c r="Q62" s="102">
        <f>SUM(N62,P62)</f>
        <v>43154.1</v>
      </c>
      <c r="R62" s="82" t="s">
        <v>389</v>
      </c>
      <c r="S62" s="102">
        <v>-200</v>
      </c>
      <c r="T62" s="145">
        <f>SUM(Q62,S62)</f>
        <v>42954.1</v>
      </c>
      <c r="U62" s="152" t="s">
        <v>441</v>
      </c>
    </row>
    <row r="63" spans="1:21" ht="58.5" hidden="1" customHeight="1" outlineLevel="1" x14ac:dyDescent="0.2">
      <c r="A63" s="81"/>
      <c r="B63" s="100" t="s">
        <v>85</v>
      </c>
      <c r="C63" s="101" t="s">
        <v>28</v>
      </c>
      <c r="D63" s="101" t="s">
        <v>1</v>
      </c>
      <c r="E63" s="101" t="s">
        <v>7</v>
      </c>
      <c r="F63" s="102">
        <v>8669.2000000000007</v>
      </c>
      <c r="G63" s="102"/>
      <c r="H63" s="102">
        <f t="shared" ref="H63:H64" si="96">SUM(F63:G63)</f>
        <v>8669.2000000000007</v>
      </c>
      <c r="I63" s="102"/>
      <c r="J63" s="102"/>
      <c r="K63" s="102">
        <f t="shared" si="94"/>
        <v>8669.2000000000007</v>
      </c>
      <c r="L63" s="103"/>
      <c r="M63" s="102">
        <v>-2.8</v>
      </c>
      <c r="N63" s="102">
        <f t="shared" si="95"/>
        <v>8666.4000000000015</v>
      </c>
      <c r="O63" s="103" t="s">
        <v>292</v>
      </c>
      <c r="P63" s="102">
        <f>-91.5+4500</f>
        <v>4408.5</v>
      </c>
      <c r="Q63" s="102">
        <f t="shared" ref="Q63:Q64" si="97">SUM(N63,P63)</f>
        <v>13074.900000000001</v>
      </c>
      <c r="R63" s="82" t="s">
        <v>348</v>
      </c>
      <c r="S63" s="102">
        <f>23-328.8</f>
        <v>-305.8</v>
      </c>
      <c r="T63" s="145">
        <f t="shared" ref="T63:T64" si="98">SUM(Q63,S63)</f>
        <v>12769.100000000002</v>
      </c>
      <c r="U63" s="148" t="s">
        <v>440</v>
      </c>
    </row>
    <row r="64" spans="1:21" ht="63.75" hidden="1" customHeight="1" outlineLevel="1" x14ac:dyDescent="0.2">
      <c r="A64" s="81"/>
      <c r="B64" s="100" t="s">
        <v>86</v>
      </c>
      <c r="C64" s="101" t="s">
        <v>28</v>
      </c>
      <c r="D64" s="101" t="s">
        <v>1</v>
      </c>
      <c r="E64" s="101" t="s">
        <v>13</v>
      </c>
      <c r="F64" s="102">
        <v>8026.4</v>
      </c>
      <c r="G64" s="102"/>
      <c r="H64" s="102">
        <f t="shared" si="96"/>
        <v>8026.4</v>
      </c>
      <c r="I64" s="102"/>
      <c r="J64" s="102">
        <v>370</v>
      </c>
      <c r="K64" s="102">
        <f t="shared" si="94"/>
        <v>8396.4</v>
      </c>
      <c r="L64" s="103" t="s">
        <v>205</v>
      </c>
      <c r="M64" s="102"/>
      <c r="N64" s="102">
        <f t="shared" si="95"/>
        <v>8396.4</v>
      </c>
      <c r="O64" s="103"/>
      <c r="P64" s="102">
        <f>479.8</f>
        <v>479.8</v>
      </c>
      <c r="Q64" s="102">
        <f t="shared" si="97"/>
        <v>8876.1999999999989</v>
      </c>
      <c r="R64" s="82" t="s">
        <v>350</v>
      </c>
      <c r="S64" s="102">
        <f>-23-206.5</f>
        <v>-229.5</v>
      </c>
      <c r="T64" s="145">
        <f t="shared" si="98"/>
        <v>8646.6999999999989</v>
      </c>
      <c r="U64" s="148" t="s">
        <v>442</v>
      </c>
    </row>
    <row r="65" spans="1:21" s="77" customFormat="1" ht="32.25" customHeight="1" collapsed="1" x14ac:dyDescent="0.2">
      <c r="A65" s="75"/>
      <c r="B65" s="92" t="s">
        <v>87</v>
      </c>
      <c r="C65" s="93" t="s">
        <v>27</v>
      </c>
      <c r="D65" s="93" t="s">
        <v>3</v>
      </c>
      <c r="E65" s="93" t="s">
        <v>3</v>
      </c>
      <c r="F65" s="94">
        <f>SUM(F66,F68,F71,F76)</f>
        <v>154357.1</v>
      </c>
      <c r="G65" s="94">
        <f t="shared" ref="G65:H65" si="99">SUM(G66,G68,G71,G76)</f>
        <v>50689.2</v>
      </c>
      <c r="H65" s="94">
        <f t="shared" si="99"/>
        <v>580946.1</v>
      </c>
      <c r="I65" s="94"/>
      <c r="J65" s="94">
        <f t="shared" ref="J65:K65" si="100">SUM(J66,J68,J71,J76)</f>
        <v>896891.3</v>
      </c>
      <c r="K65" s="94">
        <f t="shared" si="100"/>
        <v>1086417.7999999998</v>
      </c>
      <c r="L65" s="95"/>
      <c r="M65" s="94">
        <f t="shared" ref="M65:N65" si="101">SUM(M66,M68,M71,M76)</f>
        <v>33493.89</v>
      </c>
      <c r="N65" s="94">
        <f t="shared" si="101"/>
        <v>1119911.7</v>
      </c>
      <c r="O65" s="95"/>
      <c r="P65" s="94">
        <f t="shared" ref="P65" si="102">SUM(P66,P68,P71,P76)</f>
        <v>207030.61</v>
      </c>
      <c r="Q65" s="94">
        <f>SUM(Q66,Q68,Q71,Q76)</f>
        <v>1326942.22</v>
      </c>
      <c r="R65" s="76"/>
      <c r="S65" s="94">
        <f t="shared" ref="S65" si="103">SUM(S66,S68,S71,S76)</f>
        <v>121543.6</v>
      </c>
      <c r="T65" s="127">
        <f>SUM(T66,T68,T71,T76)</f>
        <v>1448485.8199999998</v>
      </c>
      <c r="U65" s="150"/>
    </row>
    <row r="66" spans="1:21" s="80" customFormat="1" ht="62.25" customHeight="1" x14ac:dyDescent="0.2">
      <c r="A66" s="78"/>
      <c r="B66" s="96" t="s">
        <v>88</v>
      </c>
      <c r="C66" s="97" t="s">
        <v>27</v>
      </c>
      <c r="D66" s="97" t="s">
        <v>12</v>
      </c>
      <c r="E66" s="97" t="s">
        <v>3</v>
      </c>
      <c r="F66" s="98">
        <f>SUM(F67)</f>
        <v>611.79999999999995</v>
      </c>
      <c r="G66" s="98">
        <f t="shared" ref="G66:N66" si="104">SUM(G67)</f>
        <v>0</v>
      </c>
      <c r="H66" s="98">
        <f t="shared" si="104"/>
        <v>611.79999999999995</v>
      </c>
      <c r="I66" s="98"/>
      <c r="J66" s="98">
        <f t="shared" si="104"/>
        <v>0</v>
      </c>
      <c r="K66" s="98">
        <f t="shared" si="104"/>
        <v>611.79999999999995</v>
      </c>
      <c r="L66" s="99"/>
      <c r="M66" s="98">
        <f>SUM(M67)-0.01</f>
        <v>357.19000000000005</v>
      </c>
      <c r="N66" s="98">
        <f t="shared" si="104"/>
        <v>969</v>
      </c>
      <c r="O66" s="99" t="s">
        <v>287</v>
      </c>
      <c r="P66" s="98">
        <f>SUM(P67)-0.01</f>
        <v>689.11</v>
      </c>
      <c r="Q66" s="98">
        <f t="shared" ref="Q66" si="105">SUM(Q67)</f>
        <v>1658.12</v>
      </c>
      <c r="R66" s="79" t="s">
        <v>342</v>
      </c>
      <c r="S66" s="98">
        <f>SUM(S67)</f>
        <v>0</v>
      </c>
      <c r="T66" s="144">
        <f t="shared" ref="T66" si="106">SUM(T67)</f>
        <v>1658.12</v>
      </c>
      <c r="U66" s="151"/>
    </row>
    <row r="67" spans="1:21" ht="36.75" hidden="1" customHeight="1" outlineLevel="1" x14ac:dyDescent="0.2">
      <c r="A67" s="81"/>
      <c r="B67" s="100" t="s">
        <v>89</v>
      </c>
      <c r="C67" s="101" t="s">
        <v>27</v>
      </c>
      <c r="D67" s="101" t="s">
        <v>12</v>
      </c>
      <c r="E67" s="101" t="s">
        <v>8</v>
      </c>
      <c r="F67" s="102">
        <v>611.79999999999995</v>
      </c>
      <c r="G67" s="102"/>
      <c r="H67" s="102">
        <f>SUM(F67:G67)</f>
        <v>611.79999999999995</v>
      </c>
      <c r="I67" s="102"/>
      <c r="J67" s="102"/>
      <c r="K67" s="102">
        <f>SUM(H67,J67)</f>
        <v>611.79999999999995</v>
      </c>
      <c r="L67" s="103"/>
      <c r="M67" s="102">
        <f>290.1+15.1+15.7+36.3</f>
        <v>357.20000000000005</v>
      </c>
      <c r="N67" s="102">
        <f>SUM(K67,M67)</f>
        <v>969</v>
      </c>
      <c r="O67" s="103" t="s">
        <v>287</v>
      </c>
      <c r="P67" s="121">
        <f>689.1+0.02</f>
        <v>689.12</v>
      </c>
      <c r="Q67" s="102">
        <f>SUM(N67,P67)</f>
        <v>1658.12</v>
      </c>
      <c r="R67" s="131" t="s">
        <v>342</v>
      </c>
      <c r="S67" s="121"/>
      <c r="T67" s="145">
        <f>SUM(Q67,S67)</f>
        <v>1658.12</v>
      </c>
      <c r="U67" s="148"/>
    </row>
    <row r="68" spans="1:21" s="80" customFormat="1" ht="106.5" customHeight="1" collapsed="1" x14ac:dyDescent="0.2">
      <c r="A68" s="78"/>
      <c r="B68" s="96" t="s">
        <v>90</v>
      </c>
      <c r="C68" s="97" t="s">
        <v>27</v>
      </c>
      <c r="D68" s="97" t="s">
        <v>10</v>
      </c>
      <c r="E68" s="97" t="s">
        <v>3</v>
      </c>
      <c r="F68" s="98">
        <f>SUM(F69:F70)</f>
        <v>27262.899999999998</v>
      </c>
      <c r="G68" s="98">
        <f t="shared" ref="G68:H68" si="107">SUM(G69:G70)</f>
        <v>0</v>
      </c>
      <c r="H68" s="98">
        <f t="shared" si="107"/>
        <v>27262.899999999998</v>
      </c>
      <c r="I68" s="98"/>
      <c r="J68" s="98">
        <f t="shared" ref="J68:K68" si="108">SUM(J69:J70)</f>
        <v>15641.4</v>
      </c>
      <c r="K68" s="98">
        <f t="shared" si="108"/>
        <v>42904.299999999996</v>
      </c>
      <c r="L68" s="99" t="s">
        <v>240</v>
      </c>
      <c r="M68" s="98">
        <f t="shared" ref="M68:N68" si="109">SUM(M69:M70)</f>
        <v>33188.699999999997</v>
      </c>
      <c r="N68" s="98">
        <f t="shared" si="109"/>
        <v>76093</v>
      </c>
      <c r="O68" s="99" t="s">
        <v>268</v>
      </c>
      <c r="P68" s="98">
        <f t="shared" ref="P68:Q68" si="110">SUM(P69:P70)</f>
        <v>0</v>
      </c>
      <c r="Q68" s="98">
        <f t="shared" si="110"/>
        <v>76093</v>
      </c>
      <c r="R68" s="79"/>
      <c r="S68" s="98">
        <f t="shared" ref="S68:T68" si="111">SUM(S69:S70)</f>
        <v>-16111.6</v>
      </c>
      <c r="T68" s="144">
        <f t="shared" si="111"/>
        <v>59981.399999999994</v>
      </c>
      <c r="U68" s="151" t="s">
        <v>470</v>
      </c>
    </row>
    <row r="69" spans="1:21" ht="136.5" hidden="1" customHeight="1" outlineLevel="1" x14ac:dyDescent="0.2">
      <c r="A69" s="81"/>
      <c r="B69" s="100" t="s">
        <v>91</v>
      </c>
      <c r="C69" s="101" t="s">
        <v>27</v>
      </c>
      <c r="D69" s="101" t="s">
        <v>10</v>
      </c>
      <c r="E69" s="101" t="s">
        <v>8</v>
      </c>
      <c r="F69" s="102">
        <v>27252.799999999999</v>
      </c>
      <c r="G69" s="102"/>
      <c r="H69" s="102">
        <f>SUM(F69:G69)</f>
        <v>27252.799999999999</v>
      </c>
      <c r="I69" s="102"/>
      <c r="J69" s="102">
        <v>15641.4</v>
      </c>
      <c r="K69" s="102">
        <f t="shared" ref="K69:K70" si="112">SUM(H69,J69)</f>
        <v>42894.2</v>
      </c>
      <c r="L69" s="103" t="s">
        <v>210</v>
      </c>
      <c r="M69" s="102">
        <f>33188.7</f>
        <v>33188.699999999997</v>
      </c>
      <c r="N69" s="102">
        <f t="shared" ref="N69:N70" si="113">SUM(K69,M69)</f>
        <v>76082.899999999994</v>
      </c>
      <c r="O69" s="103" t="s">
        <v>268</v>
      </c>
      <c r="P69" s="102"/>
      <c r="Q69" s="102">
        <f t="shared" ref="Q69:Q70" si="114">SUM(N69,P69)</f>
        <v>76082.899999999994</v>
      </c>
      <c r="R69" s="82"/>
      <c r="S69" s="102">
        <f>-3552.6-12559</f>
        <v>-16111.6</v>
      </c>
      <c r="T69" s="145">
        <f t="shared" ref="T69:T70" si="115">SUM(Q69,S69)</f>
        <v>59971.299999999996</v>
      </c>
      <c r="U69" s="130" t="s">
        <v>469</v>
      </c>
    </row>
    <row r="70" spans="1:21" ht="75.75" hidden="1" customHeight="1" outlineLevel="1" x14ac:dyDescent="0.2">
      <c r="A70" s="81"/>
      <c r="B70" s="100" t="s">
        <v>92</v>
      </c>
      <c r="C70" s="101" t="s">
        <v>27</v>
      </c>
      <c r="D70" s="101" t="s">
        <v>10</v>
      </c>
      <c r="E70" s="101" t="s">
        <v>7</v>
      </c>
      <c r="F70" s="102">
        <v>10.1</v>
      </c>
      <c r="G70" s="102"/>
      <c r="H70" s="102">
        <f>SUM(F70:G70)</f>
        <v>10.1</v>
      </c>
      <c r="I70" s="102"/>
      <c r="J70" s="102"/>
      <c r="K70" s="102">
        <f t="shared" si="112"/>
        <v>10.1</v>
      </c>
      <c r="L70" s="103"/>
      <c r="M70" s="102"/>
      <c r="N70" s="102">
        <f t="shared" si="113"/>
        <v>10.1</v>
      </c>
      <c r="O70" s="103"/>
      <c r="P70" s="102"/>
      <c r="Q70" s="102">
        <f t="shared" si="114"/>
        <v>10.1</v>
      </c>
      <c r="R70" s="82"/>
      <c r="S70" s="102"/>
      <c r="T70" s="145">
        <f t="shared" si="115"/>
        <v>10.1</v>
      </c>
      <c r="U70" s="130"/>
    </row>
    <row r="71" spans="1:21" s="80" customFormat="1" ht="150.75" customHeight="1" collapsed="1" x14ac:dyDescent="0.2">
      <c r="A71" s="78"/>
      <c r="B71" s="96" t="s">
        <v>93</v>
      </c>
      <c r="C71" s="97" t="s">
        <v>27</v>
      </c>
      <c r="D71" s="97" t="s">
        <v>14</v>
      </c>
      <c r="E71" s="97" t="s">
        <v>3</v>
      </c>
      <c r="F71" s="98">
        <f>SUM(F72:G75)</f>
        <v>126482.40000000001</v>
      </c>
      <c r="G71" s="98">
        <f t="shared" ref="G71" si="116">SUM(G72:G73)</f>
        <v>15519.8</v>
      </c>
      <c r="H71" s="98">
        <f>SUM(H72:J75)</f>
        <v>517902</v>
      </c>
      <c r="I71" s="99" t="s">
        <v>197</v>
      </c>
      <c r="J71" s="98">
        <f t="shared" ref="J71" si="117">SUM(J72:J73)</f>
        <v>391419.6</v>
      </c>
      <c r="K71" s="98">
        <f>SUM(K72:K75)</f>
        <v>517902</v>
      </c>
      <c r="L71" s="99" t="s">
        <v>229</v>
      </c>
      <c r="M71" s="98">
        <f>SUM(M72:M75)</f>
        <v>-52</v>
      </c>
      <c r="N71" s="98">
        <f>SUM(N72:N75)</f>
        <v>517850</v>
      </c>
      <c r="O71" s="99" t="s">
        <v>302</v>
      </c>
      <c r="P71" s="98">
        <f>SUM(P72:P75)</f>
        <v>219071.5</v>
      </c>
      <c r="Q71" s="98">
        <f>SUM(Q72:Q75)</f>
        <v>736921.5</v>
      </c>
      <c r="R71" s="79" t="s">
        <v>395</v>
      </c>
      <c r="S71" s="98">
        <f>SUM(S72:S75)</f>
        <v>247208.6</v>
      </c>
      <c r="T71" s="144">
        <f>SUM(T72:T75)</f>
        <v>984130.1</v>
      </c>
      <c r="U71" s="151" t="s">
        <v>472</v>
      </c>
    </row>
    <row r="72" spans="1:21" ht="112.5" hidden="1" customHeight="1" outlineLevel="1" x14ac:dyDescent="0.2">
      <c r="A72" s="81"/>
      <c r="B72" s="100" t="s">
        <v>94</v>
      </c>
      <c r="C72" s="101" t="s">
        <v>27</v>
      </c>
      <c r="D72" s="101" t="s">
        <v>14</v>
      </c>
      <c r="E72" s="101" t="s">
        <v>8</v>
      </c>
      <c r="F72" s="102">
        <v>102688.6</v>
      </c>
      <c r="G72" s="102">
        <f>5000+4991+2009.9+3509.9+9</f>
        <v>15519.8</v>
      </c>
      <c r="H72" s="102">
        <f>SUM(F72:G72)</f>
        <v>118208.40000000001</v>
      </c>
      <c r="I72" s="103" t="s">
        <v>196</v>
      </c>
      <c r="J72" s="102">
        <f>13773.1+26203.8+348136.1</f>
        <v>388113</v>
      </c>
      <c r="K72" s="102">
        <f t="shared" ref="K72:K73" si="118">SUM(H72,J72)</f>
        <v>506321.4</v>
      </c>
      <c r="L72" s="103" t="s">
        <v>220</v>
      </c>
      <c r="M72" s="102">
        <f>-15.7-26203.8-348136.1-36.3</f>
        <v>-374391.89999999997</v>
      </c>
      <c r="N72" s="102">
        <f t="shared" ref="N72:N75" si="119">SUM(K72,M72)</f>
        <v>131929.50000000006</v>
      </c>
      <c r="O72" s="103" t="s">
        <v>288</v>
      </c>
      <c r="P72" s="102">
        <f>177234.5-757.3-4500-200-229.8+17000+18605.8+1100</f>
        <v>208253.2</v>
      </c>
      <c r="Q72" s="102">
        <f t="shared" ref="Q72:Q75" si="120">SUM(N72,P72)</f>
        <v>340182.70000000007</v>
      </c>
      <c r="R72" s="82" t="s">
        <v>383</v>
      </c>
      <c r="S72" s="102">
        <f>245811+18494-17000</f>
        <v>247305</v>
      </c>
      <c r="T72" s="145">
        <f t="shared" ref="T72:T75" si="121">SUM(Q72,S72)</f>
        <v>587487.70000000007</v>
      </c>
      <c r="U72" s="148" t="s">
        <v>471</v>
      </c>
    </row>
    <row r="73" spans="1:21" ht="89.25" hidden="1" customHeight="1" outlineLevel="1" x14ac:dyDescent="0.2">
      <c r="A73" s="81"/>
      <c r="B73" s="100" t="s">
        <v>95</v>
      </c>
      <c r="C73" s="101" t="s">
        <v>27</v>
      </c>
      <c r="D73" s="101" t="s">
        <v>14</v>
      </c>
      <c r="E73" s="101" t="s">
        <v>7</v>
      </c>
      <c r="F73" s="102">
        <v>8274</v>
      </c>
      <c r="G73" s="102"/>
      <c r="H73" s="102">
        <f>SUM(F73:G73)</f>
        <v>8274</v>
      </c>
      <c r="I73" s="102"/>
      <c r="J73" s="102">
        <f>826.7+2479.9</f>
        <v>3306.6000000000004</v>
      </c>
      <c r="K73" s="102">
        <f t="shared" si="118"/>
        <v>11580.6</v>
      </c>
      <c r="L73" s="103" t="s">
        <v>221</v>
      </c>
      <c r="M73" s="102"/>
      <c r="N73" s="102">
        <f>SUM(K73,M73)</f>
        <v>11580.6</v>
      </c>
      <c r="O73" s="103"/>
      <c r="P73" s="102">
        <v>-8274.1</v>
      </c>
      <c r="Q73" s="102">
        <f t="shared" si="120"/>
        <v>3306.5</v>
      </c>
      <c r="R73" s="82" t="s">
        <v>357</v>
      </c>
      <c r="S73" s="102">
        <f>-72.3-24.1</f>
        <v>-96.4</v>
      </c>
      <c r="T73" s="145">
        <f t="shared" si="121"/>
        <v>3210.1</v>
      </c>
      <c r="U73" s="130" t="s">
        <v>453</v>
      </c>
    </row>
    <row r="74" spans="1:21" ht="97.5" hidden="1" customHeight="1" outlineLevel="1" x14ac:dyDescent="0.2">
      <c r="A74" s="81"/>
      <c r="B74" s="100" t="s">
        <v>356</v>
      </c>
      <c r="C74" s="101">
        <v>11</v>
      </c>
      <c r="D74" s="101">
        <v>3</v>
      </c>
      <c r="E74" s="101">
        <v>3</v>
      </c>
      <c r="F74" s="102"/>
      <c r="G74" s="102"/>
      <c r="H74" s="102"/>
      <c r="I74" s="102"/>
      <c r="J74" s="102"/>
      <c r="K74" s="102"/>
      <c r="L74" s="103"/>
      <c r="M74" s="102"/>
      <c r="N74" s="102"/>
      <c r="O74" s="103"/>
      <c r="P74" s="102">
        <v>8274.1</v>
      </c>
      <c r="Q74" s="102">
        <f t="shared" si="120"/>
        <v>8274.1</v>
      </c>
      <c r="R74" s="82" t="s">
        <v>358</v>
      </c>
      <c r="S74" s="102"/>
      <c r="T74" s="145">
        <f t="shared" si="121"/>
        <v>8274.1</v>
      </c>
      <c r="U74" s="148"/>
    </row>
    <row r="75" spans="1:21" ht="115.5" hidden="1" customHeight="1" outlineLevel="1" x14ac:dyDescent="0.2">
      <c r="A75" s="81"/>
      <c r="B75" s="100" t="s">
        <v>251</v>
      </c>
      <c r="C75" s="101">
        <v>11</v>
      </c>
      <c r="D75" s="101">
        <v>3</v>
      </c>
      <c r="E75" s="101" t="s">
        <v>252</v>
      </c>
      <c r="F75" s="102">
        <v>0</v>
      </c>
      <c r="G75" s="102"/>
      <c r="H75" s="102">
        <f>SUM(F75:G75)</f>
        <v>0</v>
      </c>
      <c r="I75" s="102"/>
      <c r="J75" s="102"/>
      <c r="K75" s="102"/>
      <c r="L75" s="103"/>
      <c r="M75" s="102">
        <f>26203.8+348136.1</f>
        <v>374339.89999999997</v>
      </c>
      <c r="N75" s="102">
        <f t="shared" si="119"/>
        <v>374339.89999999997</v>
      </c>
      <c r="O75" s="103" t="s">
        <v>253</v>
      </c>
      <c r="P75" s="102">
        <f>6137.2+3923.8+757.3</f>
        <v>10818.3</v>
      </c>
      <c r="Q75" s="102">
        <f t="shared" si="120"/>
        <v>385158.19999999995</v>
      </c>
      <c r="R75" s="82" t="s">
        <v>382</v>
      </c>
      <c r="S75" s="102"/>
      <c r="T75" s="145">
        <f t="shared" si="121"/>
        <v>385158.19999999995</v>
      </c>
      <c r="U75" s="148"/>
    </row>
    <row r="76" spans="1:21" s="80" customFormat="1" ht="74.25" customHeight="1" collapsed="1" x14ac:dyDescent="0.2">
      <c r="A76" s="78"/>
      <c r="B76" s="96" t="s">
        <v>215</v>
      </c>
      <c r="C76" s="97" t="s">
        <v>27</v>
      </c>
      <c r="D76" s="97">
        <v>4</v>
      </c>
      <c r="E76" s="97" t="s">
        <v>3</v>
      </c>
      <c r="F76" s="98">
        <f>SUM(F77)</f>
        <v>0</v>
      </c>
      <c r="G76" s="98">
        <f t="shared" ref="G76:T76" si="122">SUM(G77)</f>
        <v>35169.4</v>
      </c>
      <c r="H76" s="98">
        <f t="shared" si="122"/>
        <v>35169.4</v>
      </c>
      <c r="I76" s="99" t="s">
        <v>185</v>
      </c>
      <c r="J76" s="98">
        <f t="shared" si="122"/>
        <v>489830.3</v>
      </c>
      <c r="K76" s="98">
        <f t="shared" si="122"/>
        <v>524999.69999999995</v>
      </c>
      <c r="L76" s="99" t="s">
        <v>241</v>
      </c>
      <c r="M76" s="98">
        <f t="shared" si="122"/>
        <v>0</v>
      </c>
      <c r="N76" s="98">
        <f t="shared" si="122"/>
        <v>524999.69999999995</v>
      </c>
      <c r="O76" s="99"/>
      <c r="P76" s="98">
        <f t="shared" si="122"/>
        <v>-12730</v>
      </c>
      <c r="Q76" s="98">
        <f t="shared" si="122"/>
        <v>512269.6</v>
      </c>
      <c r="R76" s="79" t="s">
        <v>378</v>
      </c>
      <c r="S76" s="98">
        <f t="shared" si="122"/>
        <v>-109553.4</v>
      </c>
      <c r="T76" s="144">
        <f t="shared" si="122"/>
        <v>402716.19999999995</v>
      </c>
      <c r="U76" s="151" t="s">
        <v>473</v>
      </c>
    </row>
    <row r="77" spans="1:21" ht="103.5" hidden="1" customHeight="1" outlineLevel="1" x14ac:dyDescent="0.2">
      <c r="A77" s="81"/>
      <c r="B77" s="100" t="s">
        <v>216</v>
      </c>
      <c r="C77" s="101" t="s">
        <v>27</v>
      </c>
      <c r="D77" s="101">
        <v>4</v>
      </c>
      <c r="E77" s="101" t="s">
        <v>8</v>
      </c>
      <c r="F77" s="102">
        <v>0</v>
      </c>
      <c r="G77" s="102">
        <v>35169.4</v>
      </c>
      <c r="H77" s="102">
        <f>SUM(F77:G77)</f>
        <v>35169.4</v>
      </c>
      <c r="I77" s="103" t="s">
        <v>185</v>
      </c>
      <c r="J77" s="102">
        <f>22580.6+467249.7</f>
        <v>489830.3</v>
      </c>
      <c r="K77" s="102">
        <f>SUM(H77,J77)</f>
        <v>524999.69999999995</v>
      </c>
      <c r="L77" s="103" t="s">
        <v>227</v>
      </c>
      <c r="M77" s="102"/>
      <c r="N77" s="102">
        <f>SUM(K77,M77)</f>
        <v>524999.69999999995</v>
      </c>
      <c r="O77" s="103"/>
      <c r="P77" s="102">
        <v>-12730</v>
      </c>
      <c r="Q77" s="102">
        <f>SUM(N77,P77)-0.1</f>
        <v>512269.6</v>
      </c>
      <c r="R77" s="82" t="s">
        <v>378</v>
      </c>
      <c r="S77" s="102">
        <f>-108832.2-721.2</f>
        <v>-109553.4</v>
      </c>
      <c r="T77" s="145">
        <f>SUM(Q77,S77)</f>
        <v>402716.19999999995</v>
      </c>
      <c r="U77" s="130" t="s">
        <v>476</v>
      </c>
    </row>
    <row r="78" spans="1:21" s="77" customFormat="1" ht="77.25" customHeight="1" collapsed="1" x14ac:dyDescent="0.2">
      <c r="A78" s="75"/>
      <c r="B78" s="92" t="s">
        <v>96</v>
      </c>
      <c r="C78" s="93" t="s">
        <v>26</v>
      </c>
      <c r="D78" s="93" t="s">
        <v>3</v>
      </c>
      <c r="E78" s="93" t="s">
        <v>3</v>
      </c>
      <c r="F78" s="94">
        <f>SUM(F79:F81)</f>
        <v>33896.400000000001</v>
      </c>
      <c r="G78" s="94">
        <f t="shared" ref="G78:H78" si="123">SUM(G79:G81)</f>
        <v>0</v>
      </c>
      <c r="H78" s="94">
        <f t="shared" si="123"/>
        <v>33896.400000000001</v>
      </c>
      <c r="I78" s="94"/>
      <c r="J78" s="94">
        <f t="shared" ref="J78:K78" si="124">SUM(J79:J81)</f>
        <v>0</v>
      </c>
      <c r="K78" s="94">
        <f t="shared" si="124"/>
        <v>33896.400000000001</v>
      </c>
      <c r="L78" s="95"/>
      <c r="M78" s="94">
        <f t="shared" ref="M78:N78" si="125">SUM(M79:M81)</f>
        <v>0</v>
      </c>
      <c r="N78" s="94">
        <f t="shared" si="125"/>
        <v>33896.400000000001</v>
      </c>
      <c r="O78" s="95"/>
      <c r="P78" s="94">
        <f t="shared" ref="P78:Q78" si="126">SUM(P79:P81)</f>
        <v>594</v>
      </c>
      <c r="Q78" s="94">
        <f t="shared" si="126"/>
        <v>34490.400000000001</v>
      </c>
      <c r="R78" s="83" t="s">
        <v>405</v>
      </c>
      <c r="S78" s="94">
        <f t="shared" ref="S78:T78" si="127">SUM(S79:S81)</f>
        <v>-167.60000000000002</v>
      </c>
      <c r="T78" s="127">
        <f t="shared" si="127"/>
        <v>34322.800000000003</v>
      </c>
      <c r="U78" s="150" t="s">
        <v>455</v>
      </c>
    </row>
    <row r="79" spans="1:21" ht="69" hidden="1" customHeight="1" outlineLevel="1" x14ac:dyDescent="0.2">
      <c r="A79" s="81"/>
      <c r="B79" s="100" t="s">
        <v>97</v>
      </c>
      <c r="C79" s="101" t="s">
        <v>26</v>
      </c>
      <c r="D79" s="101" t="s">
        <v>1</v>
      </c>
      <c r="E79" s="101" t="s">
        <v>8</v>
      </c>
      <c r="F79" s="102">
        <v>3000</v>
      </c>
      <c r="G79" s="102"/>
      <c r="H79" s="102">
        <f>SUM(F79:G79)</f>
        <v>3000</v>
      </c>
      <c r="I79" s="102"/>
      <c r="J79" s="102"/>
      <c r="K79" s="102">
        <f t="shared" ref="K79:K81" si="128">SUM(H79,J79)</f>
        <v>3000</v>
      </c>
      <c r="L79" s="103"/>
      <c r="M79" s="102">
        <v>-403.2</v>
      </c>
      <c r="N79" s="102">
        <f t="shared" ref="N79:N81" si="129">SUM(K79,M79)</f>
        <v>2596.8000000000002</v>
      </c>
      <c r="O79" s="103" t="s">
        <v>266</v>
      </c>
      <c r="P79" s="102">
        <f>400+500</f>
        <v>900</v>
      </c>
      <c r="Q79" s="102">
        <f t="shared" ref="Q79:Q81" si="130">SUM(N79,P79)</f>
        <v>3496.8</v>
      </c>
      <c r="R79" s="132" t="s">
        <v>404</v>
      </c>
      <c r="S79" s="102">
        <f>600</f>
        <v>600</v>
      </c>
      <c r="T79" s="145">
        <f t="shared" ref="T79:T81" si="131">SUM(Q79,S79)</f>
        <v>4096.8</v>
      </c>
      <c r="U79" s="148" t="s">
        <v>449</v>
      </c>
    </row>
    <row r="80" spans="1:21" ht="57" hidden="1" customHeight="1" outlineLevel="1" x14ac:dyDescent="0.2">
      <c r="A80" s="81"/>
      <c r="B80" s="100" t="s">
        <v>98</v>
      </c>
      <c r="C80" s="101" t="s">
        <v>26</v>
      </c>
      <c r="D80" s="101" t="s">
        <v>1</v>
      </c>
      <c r="E80" s="101" t="s">
        <v>7</v>
      </c>
      <c r="F80" s="102">
        <v>29896.400000000001</v>
      </c>
      <c r="G80" s="102"/>
      <c r="H80" s="102">
        <f t="shared" ref="H80:H81" si="132">SUM(F80:G80)</f>
        <v>29896.400000000001</v>
      </c>
      <c r="I80" s="102"/>
      <c r="J80" s="102"/>
      <c r="K80" s="102">
        <f t="shared" si="128"/>
        <v>29896.400000000001</v>
      </c>
      <c r="L80" s="103"/>
      <c r="M80" s="102"/>
      <c r="N80" s="102">
        <f t="shared" si="129"/>
        <v>29896.400000000001</v>
      </c>
      <c r="O80" s="103"/>
      <c r="P80" s="102">
        <f>-306</f>
        <v>-306</v>
      </c>
      <c r="Q80" s="102">
        <f t="shared" si="130"/>
        <v>29590.400000000001</v>
      </c>
      <c r="R80" s="132" t="s">
        <v>360</v>
      </c>
      <c r="S80" s="102">
        <f>-767.6</f>
        <v>-767.6</v>
      </c>
      <c r="T80" s="145">
        <f t="shared" si="131"/>
        <v>28822.800000000003</v>
      </c>
      <c r="U80" s="148" t="s">
        <v>450</v>
      </c>
    </row>
    <row r="81" spans="1:21" ht="39" hidden="1" customHeight="1" outlineLevel="1" x14ac:dyDescent="0.2">
      <c r="A81" s="81"/>
      <c r="B81" s="100" t="s">
        <v>99</v>
      </c>
      <c r="C81" s="101" t="s">
        <v>26</v>
      </c>
      <c r="D81" s="101" t="s">
        <v>1</v>
      </c>
      <c r="E81" s="101" t="s">
        <v>13</v>
      </c>
      <c r="F81" s="102">
        <v>1000</v>
      </c>
      <c r="G81" s="102"/>
      <c r="H81" s="102">
        <f t="shared" si="132"/>
        <v>1000</v>
      </c>
      <c r="I81" s="102"/>
      <c r="J81" s="102"/>
      <c r="K81" s="102">
        <f t="shared" si="128"/>
        <v>1000</v>
      </c>
      <c r="L81" s="103"/>
      <c r="M81" s="102">
        <f>403.2</f>
        <v>403.2</v>
      </c>
      <c r="N81" s="102">
        <f t="shared" si="129"/>
        <v>1403.2</v>
      </c>
      <c r="O81" s="103" t="s">
        <v>267</v>
      </c>
      <c r="P81" s="102"/>
      <c r="Q81" s="102">
        <f t="shared" si="130"/>
        <v>1403.2</v>
      </c>
      <c r="R81" s="82"/>
      <c r="S81" s="102"/>
      <c r="T81" s="145">
        <f t="shared" si="131"/>
        <v>1403.2</v>
      </c>
      <c r="U81" s="148"/>
    </row>
    <row r="82" spans="1:21" s="77" customFormat="1" ht="35.25" customHeight="1" collapsed="1" x14ac:dyDescent="0.2">
      <c r="A82" s="75"/>
      <c r="B82" s="92" t="s">
        <v>100</v>
      </c>
      <c r="C82" s="93" t="s">
        <v>25</v>
      </c>
      <c r="D82" s="93" t="s">
        <v>3</v>
      </c>
      <c r="E82" s="93" t="s">
        <v>3</v>
      </c>
      <c r="F82" s="94">
        <f>SUM(F83,F86,F88)</f>
        <v>153167.79999999999</v>
      </c>
      <c r="G82" s="94">
        <f>SUM(G83,G86,G88)</f>
        <v>61552.100000000006</v>
      </c>
      <c r="H82" s="94">
        <f>SUM(H83,H86,H88)</f>
        <v>214719.90000000002</v>
      </c>
      <c r="I82" s="94"/>
      <c r="J82" s="94">
        <f>SUM(J83,J86,J88)</f>
        <v>4213.8</v>
      </c>
      <c r="K82" s="94">
        <f>SUM(K83,K86,K88)</f>
        <v>218933.7</v>
      </c>
      <c r="L82" s="95"/>
      <c r="M82" s="94">
        <f>SUM(M83,M86,M88)</f>
        <v>980.19</v>
      </c>
      <c r="N82" s="94">
        <f>SUM(N83,N86,N88)</f>
        <v>219913.89</v>
      </c>
      <c r="O82" s="95"/>
      <c r="P82" s="94">
        <f>SUM(P83,P86,P88)</f>
        <v>6970.0999999999995</v>
      </c>
      <c r="Q82" s="94">
        <f>SUM(Q83,Q86,Q88)</f>
        <v>226883.99000000002</v>
      </c>
      <c r="R82" s="76"/>
      <c r="S82" s="94">
        <f>SUM(S83,S86,S88)</f>
        <v>0</v>
      </c>
      <c r="T82" s="127">
        <f>SUM(T83,T86,T88)</f>
        <v>226883.99000000002</v>
      </c>
      <c r="U82" s="150"/>
    </row>
    <row r="83" spans="1:21" s="80" customFormat="1" ht="51" customHeight="1" x14ac:dyDescent="0.2">
      <c r="A83" s="78"/>
      <c r="B83" s="96" t="s">
        <v>101</v>
      </c>
      <c r="C83" s="97" t="s">
        <v>25</v>
      </c>
      <c r="D83" s="97" t="s">
        <v>12</v>
      </c>
      <c r="E83" s="97" t="s">
        <v>3</v>
      </c>
      <c r="F83" s="98">
        <f>SUM(F84:F85)</f>
        <v>48469.8</v>
      </c>
      <c r="G83" s="98">
        <f>SUM(G84:G85)</f>
        <v>0</v>
      </c>
      <c r="H83" s="98">
        <f>SUM(H84:H85)</f>
        <v>48469.8</v>
      </c>
      <c r="I83" s="98"/>
      <c r="J83" s="98">
        <f>SUM(J84:J85)</f>
        <v>4313.3</v>
      </c>
      <c r="K83" s="98">
        <f>SUM(K84:K85)</f>
        <v>52783.100000000006</v>
      </c>
      <c r="L83" s="99" t="s">
        <v>218</v>
      </c>
      <c r="M83" s="98">
        <f>SUM(M84:M85)</f>
        <v>1079.69</v>
      </c>
      <c r="N83" s="98">
        <f>SUM(N84:N85)</f>
        <v>53862.790000000008</v>
      </c>
      <c r="O83" s="99" t="s">
        <v>303</v>
      </c>
      <c r="P83" s="98">
        <f>SUM(P84:P85)</f>
        <v>-28.1</v>
      </c>
      <c r="Q83" s="98">
        <f>SUM(Q84:Q85)</f>
        <v>53834.69</v>
      </c>
      <c r="R83" s="79" t="s">
        <v>379</v>
      </c>
      <c r="S83" s="98">
        <f>SUM(S84:S85)</f>
        <v>0</v>
      </c>
      <c r="T83" s="144">
        <f>SUM(T84:T85)</f>
        <v>53834.69</v>
      </c>
      <c r="U83" s="151"/>
    </row>
    <row r="84" spans="1:21" ht="105" hidden="1" customHeight="1" outlineLevel="1" x14ac:dyDescent="0.2">
      <c r="A84" s="81"/>
      <c r="B84" s="100" t="s">
        <v>102</v>
      </c>
      <c r="C84" s="101" t="s">
        <v>25</v>
      </c>
      <c r="D84" s="101" t="s">
        <v>12</v>
      </c>
      <c r="E84" s="101" t="s">
        <v>8</v>
      </c>
      <c r="F84" s="102">
        <v>40969.800000000003</v>
      </c>
      <c r="G84" s="102"/>
      <c r="H84" s="102">
        <f>SUM(F84:G84)</f>
        <v>40969.800000000003</v>
      </c>
      <c r="I84" s="102"/>
      <c r="J84" s="102">
        <f>99.5+4213.8</f>
        <v>4313.3</v>
      </c>
      <c r="K84" s="102">
        <f t="shared" ref="K84:K85" si="133">SUM(H84,J84)</f>
        <v>45283.100000000006</v>
      </c>
      <c r="L84" s="103" t="s">
        <v>217</v>
      </c>
      <c r="M84" s="102">
        <f>43+99.5</f>
        <v>142.5</v>
      </c>
      <c r="N84" s="102">
        <f t="shared" ref="N84:N85" si="134">SUM(K84,M84)</f>
        <v>45425.600000000006</v>
      </c>
      <c r="O84" s="103" t="s">
        <v>277</v>
      </c>
      <c r="P84" s="102">
        <f>-21.5</f>
        <v>-21.5</v>
      </c>
      <c r="Q84" s="102">
        <f>SUM(N84,P84)</f>
        <v>45404.100000000006</v>
      </c>
      <c r="R84" s="133" t="s">
        <v>364</v>
      </c>
      <c r="S84" s="102"/>
      <c r="T84" s="145">
        <f>SUM(Q84,S84)</f>
        <v>45404.100000000006</v>
      </c>
      <c r="U84" s="148"/>
    </row>
    <row r="85" spans="1:21" ht="104.25" hidden="1" customHeight="1" outlineLevel="1" x14ac:dyDescent="0.2">
      <c r="A85" s="81"/>
      <c r="B85" s="100" t="s">
        <v>103</v>
      </c>
      <c r="C85" s="101" t="s">
        <v>25</v>
      </c>
      <c r="D85" s="101" t="s">
        <v>12</v>
      </c>
      <c r="E85" s="101" t="s">
        <v>7</v>
      </c>
      <c r="F85" s="102">
        <v>7500</v>
      </c>
      <c r="G85" s="102"/>
      <c r="H85" s="102">
        <f>SUM(F85:G85)</f>
        <v>7500</v>
      </c>
      <c r="I85" s="102"/>
      <c r="J85" s="102"/>
      <c r="K85" s="102">
        <f t="shared" si="133"/>
        <v>7500</v>
      </c>
      <c r="L85" s="103"/>
      <c r="M85" s="102">
        <f>937.2-0.01</f>
        <v>937.19</v>
      </c>
      <c r="N85" s="102">
        <f t="shared" si="134"/>
        <v>8437.19</v>
      </c>
      <c r="O85" s="103" t="s">
        <v>276</v>
      </c>
      <c r="P85" s="102">
        <f>-6.6</f>
        <v>-6.6</v>
      </c>
      <c r="Q85" s="102">
        <f t="shared" ref="Q85" si="135">SUM(N85,P85)</f>
        <v>8430.59</v>
      </c>
      <c r="R85" s="134" t="s">
        <v>345</v>
      </c>
      <c r="S85" s="102"/>
      <c r="T85" s="145">
        <f t="shared" ref="T85" si="136">SUM(Q85,S85)</f>
        <v>8430.59</v>
      </c>
      <c r="U85" s="148"/>
    </row>
    <row r="86" spans="1:21" s="80" customFormat="1" ht="67.5" customHeight="1" collapsed="1" x14ac:dyDescent="0.2">
      <c r="A86" s="78"/>
      <c r="B86" s="96" t="s">
        <v>104</v>
      </c>
      <c r="C86" s="97" t="s">
        <v>25</v>
      </c>
      <c r="D86" s="97" t="s">
        <v>10</v>
      </c>
      <c r="E86" s="97" t="s">
        <v>3</v>
      </c>
      <c r="F86" s="98">
        <f>SUM(F87)</f>
        <v>103698</v>
      </c>
      <c r="G86" s="98">
        <f t="shared" ref="G86:T86" si="137">SUM(G87)</f>
        <v>61552.100000000006</v>
      </c>
      <c r="H86" s="98">
        <f t="shared" si="137"/>
        <v>165250.1</v>
      </c>
      <c r="I86" s="106" t="s">
        <v>199</v>
      </c>
      <c r="J86" s="98">
        <f t="shared" si="137"/>
        <v>0</v>
      </c>
      <c r="K86" s="98">
        <f t="shared" si="137"/>
        <v>165250.1</v>
      </c>
      <c r="L86" s="106"/>
      <c r="M86" s="98">
        <f t="shared" si="137"/>
        <v>0</v>
      </c>
      <c r="N86" s="98">
        <f t="shared" si="137"/>
        <v>165250.1</v>
      </c>
      <c r="O86" s="106"/>
      <c r="P86" s="98">
        <f t="shared" si="137"/>
        <v>7000</v>
      </c>
      <c r="Q86" s="98">
        <f t="shared" si="137"/>
        <v>172250.1</v>
      </c>
      <c r="R86" s="84" t="s">
        <v>369</v>
      </c>
      <c r="S86" s="98">
        <f t="shared" si="137"/>
        <v>0</v>
      </c>
      <c r="T86" s="144">
        <f t="shared" si="137"/>
        <v>172250.1</v>
      </c>
      <c r="U86" s="151"/>
    </row>
    <row r="87" spans="1:21" ht="45" hidden="1" customHeight="1" outlineLevel="1" x14ac:dyDescent="0.2">
      <c r="A87" s="81"/>
      <c r="B87" s="100" t="s">
        <v>105</v>
      </c>
      <c r="C87" s="101" t="s">
        <v>25</v>
      </c>
      <c r="D87" s="101" t="s">
        <v>10</v>
      </c>
      <c r="E87" s="101" t="s">
        <v>8</v>
      </c>
      <c r="F87" s="102">
        <v>103698</v>
      </c>
      <c r="G87" s="102">
        <f>81552.1-20000</f>
        <v>61552.100000000006</v>
      </c>
      <c r="H87" s="102">
        <f>SUM(F87:G87)</f>
        <v>165250.1</v>
      </c>
      <c r="I87" s="103" t="s">
        <v>198</v>
      </c>
      <c r="J87" s="102"/>
      <c r="K87" s="102">
        <f>SUM(H87,J87)</f>
        <v>165250.1</v>
      </c>
      <c r="L87" s="103"/>
      <c r="M87" s="102"/>
      <c r="N87" s="102">
        <f>SUM(K87,M87)</f>
        <v>165250.1</v>
      </c>
      <c r="O87" s="103"/>
      <c r="P87" s="102">
        <v>7000</v>
      </c>
      <c r="Q87" s="102">
        <f>SUM(N87,P87)</f>
        <v>172250.1</v>
      </c>
      <c r="R87" s="82" t="s">
        <v>369</v>
      </c>
      <c r="S87" s="102"/>
      <c r="T87" s="145">
        <f>SUM(Q87,S87)</f>
        <v>172250.1</v>
      </c>
      <c r="U87" s="148"/>
    </row>
    <row r="88" spans="1:21" s="80" customFormat="1" ht="53.25" customHeight="1" collapsed="1" x14ac:dyDescent="0.2">
      <c r="A88" s="78"/>
      <c r="B88" s="96" t="s">
        <v>106</v>
      </c>
      <c r="C88" s="97" t="s">
        <v>25</v>
      </c>
      <c r="D88" s="97" t="s">
        <v>14</v>
      </c>
      <c r="E88" s="97" t="s">
        <v>3</v>
      </c>
      <c r="F88" s="98">
        <f>SUM(F89)</f>
        <v>1000</v>
      </c>
      <c r="G88" s="98">
        <f t="shared" ref="G88:T88" si="138">SUM(G89)</f>
        <v>0</v>
      </c>
      <c r="H88" s="98">
        <f t="shared" si="138"/>
        <v>1000</v>
      </c>
      <c r="I88" s="98"/>
      <c r="J88" s="98">
        <f t="shared" si="138"/>
        <v>-99.5</v>
      </c>
      <c r="K88" s="98">
        <f t="shared" si="138"/>
        <v>900.5</v>
      </c>
      <c r="L88" s="99" t="s">
        <v>207</v>
      </c>
      <c r="M88" s="98">
        <f t="shared" si="138"/>
        <v>-99.5</v>
      </c>
      <c r="N88" s="98">
        <f t="shared" si="138"/>
        <v>801</v>
      </c>
      <c r="O88" s="99" t="s">
        <v>275</v>
      </c>
      <c r="P88" s="98">
        <f t="shared" si="138"/>
        <v>-1.8000000000000114</v>
      </c>
      <c r="Q88" s="98">
        <f t="shared" si="138"/>
        <v>799.2</v>
      </c>
      <c r="R88" s="79" t="s">
        <v>391</v>
      </c>
      <c r="S88" s="98">
        <f t="shared" si="138"/>
        <v>0</v>
      </c>
      <c r="T88" s="144">
        <f t="shared" si="138"/>
        <v>799.2</v>
      </c>
      <c r="U88" s="151"/>
    </row>
    <row r="89" spans="1:21" ht="130.5" hidden="1" customHeight="1" outlineLevel="1" x14ac:dyDescent="0.2">
      <c r="A89" s="81"/>
      <c r="B89" s="100" t="s">
        <v>107</v>
      </c>
      <c r="C89" s="101" t="s">
        <v>25</v>
      </c>
      <c r="D89" s="101" t="s">
        <v>14</v>
      </c>
      <c r="E89" s="101" t="s">
        <v>8</v>
      </c>
      <c r="F89" s="102">
        <v>1000</v>
      </c>
      <c r="G89" s="102"/>
      <c r="H89" s="102">
        <f>SUM(F89:G89)</f>
        <v>1000</v>
      </c>
      <c r="I89" s="102"/>
      <c r="J89" s="102">
        <v>-99.5</v>
      </c>
      <c r="K89" s="102">
        <f>SUM(H89,J89)</f>
        <v>900.5</v>
      </c>
      <c r="L89" s="103" t="s">
        <v>207</v>
      </c>
      <c r="M89" s="102">
        <f>-99.5</f>
        <v>-99.5</v>
      </c>
      <c r="N89" s="102">
        <f>SUM(K89,M89)</f>
        <v>801</v>
      </c>
      <c r="O89" s="103" t="s">
        <v>275</v>
      </c>
      <c r="P89" s="102">
        <f>-1.8+300-300</f>
        <v>-1.8000000000000114</v>
      </c>
      <c r="Q89" s="102">
        <f>SUM(N89,P89)</f>
        <v>799.2</v>
      </c>
      <c r="R89" s="134" t="s">
        <v>363</v>
      </c>
      <c r="S89" s="102"/>
      <c r="T89" s="145">
        <f>SUM(Q89,S89)</f>
        <v>799.2</v>
      </c>
      <c r="U89" s="148"/>
    </row>
    <row r="90" spans="1:21" s="77" customFormat="1" ht="44.25" customHeight="1" collapsed="1" x14ac:dyDescent="0.2">
      <c r="A90" s="75"/>
      <c r="B90" s="92" t="s">
        <v>108</v>
      </c>
      <c r="C90" s="93" t="s">
        <v>24</v>
      </c>
      <c r="D90" s="93" t="s">
        <v>3</v>
      </c>
      <c r="E90" s="93" t="s">
        <v>3</v>
      </c>
      <c r="F90" s="94">
        <f>SUM(F91,F95,F99,F101,F103)</f>
        <v>65444.2</v>
      </c>
      <c r="G90" s="94">
        <f t="shared" ref="G90:H90" si="139">SUM(G91,G95,G99,G101,G103)</f>
        <v>17159.599999999999</v>
      </c>
      <c r="H90" s="94">
        <f t="shared" si="139"/>
        <v>82603.899999999994</v>
      </c>
      <c r="I90" s="94"/>
      <c r="J90" s="94">
        <f t="shared" ref="J90:K90" si="140">SUM(J91,J95,J99,J101,J103)</f>
        <v>-983.89999999999986</v>
      </c>
      <c r="K90" s="94">
        <f t="shared" si="140"/>
        <v>81619.899999999994</v>
      </c>
      <c r="L90" s="95"/>
      <c r="M90" s="94">
        <f t="shared" ref="M90:N90" si="141">SUM(M91,M95,M99,M101,M103)</f>
        <v>7907.7999999999993</v>
      </c>
      <c r="N90" s="94">
        <f t="shared" si="141"/>
        <v>89527.7</v>
      </c>
      <c r="O90" s="95"/>
      <c r="P90" s="94">
        <f t="shared" ref="P90:Q90" si="142">SUM(P91,P95,P99,P101,P103)</f>
        <v>53.799999999999898</v>
      </c>
      <c r="Q90" s="94">
        <f t="shared" si="142"/>
        <v>89581.5</v>
      </c>
      <c r="R90" s="76"/>
      <c r="S90" s="94">
        <f t="shared" ref="S90:T90" si="143">SUM(S91,S95,S99,S101,S103)</f>
        <v>11391.3</v>
      </c>
      <c r="T90" s="127">
        <f t="shared" si="143"/>
        <v>100972.8</v>
      </c>
      <c r="U90" s="150"/>
    </row>
    <row r="91" spans="1:21" s="80" customFormat="1" ht="45.75" customHeight="1" x14ac:dyDescent="0.2">
      <c r="A91" s="78"/>
      <c r="B91" s="96" t="s">
        <v>109</v>
      </c>
      <c r="C91" s="97" t="s">
        <v>24</v>
      </c>
      <c r="D91" s="97" t="s">
        <v>12</v>
      </c>
      <c r="E91" s="97" t="s">
        <v>3</v>
      </c>
      <c r="F91" s="98">
        <f>SUM(F92:F94)</f>
        <v>39382.5</v>
      </c>
      <c r="G91" s="98">
        <f t="shared" ref="G91" si="144">SUM(G92:G93)</f>
        <v>0</v>
      </c>
      <c r="H91" s="98">
        <f>SUM(H92:J94)</f>
        <v>39382.6</v>
      </c>
      <c r="I91" s="98"/>
      <c r="J91" s="98">
        <f t="shared" ref="J91" si="145">SUM(J92:J93)</f>
        <v>0.1</v>
      </c>
      <c r="K91" s="98">
        <f>SUM(K92:L94)</f>
        <v>39382.6</v>
      </c>
      <c r="L91" s="99" t="s">
        <v>225</v>
      </c>
      <c r="M91" s="98">
        <f>SUM(M92:M94)</f>
        <v>9202.7999999999993</v>
      </c>
      <c r="N91" s="98">
        <f>SUM(N92:N94)</f>
        <v>48585.4</v>
      </c>
      <c r="O91" s="99" t="s">
        <v>317</v>
      </c>
      <c r="P91" s="98">
        <f>SUM(P92:P94)</f>
        <v>851.4</v>
      </c>
      <c r="Q91" s="98">
        <f>SUM(Q92:Q94)</f>
        <v>49436.800000000003</v>
      </c>
      <c r="R91" s="79" t="s">
        <v>396</v>
      </c>
      <c r="S91" s="98">
        <f>SUM(S92:S94)</f>
        <v>-288.39999999999998</v>
      </c>
      <c r="T91" s="144">
        <f>SUM(T92:T94)</f>
        <v>49148.4</v>
      </c>
      <c r="U91" s="151" t="s">
        <v>423</v>
      </c>
    </row>
    <row r="92" spans="1:21" ht="63.75" hidden="1" customHeight="1" outlineLevel="1" x14ac:dyDescent="0.2">
      <c r="A92" s="81"/>
      <c r="B92" s="100" t="s">
        <v>110</v>
      </c>
      <c r="C92" s="101" t="s">
        <v>24</v>
      </c>
      <c r="D92" s="101" t="s">
        <v>12</v>
      </c>
      <c r="E92" s="101" t="s">
        <v>8</v>
      </c>
      <c r="F92" s="102">
        <v>1382.5</v>
      </c>
      <c r="G92" s="102"/>
      <c r="H92" s="102">
        <f>SUM(F92:G92)</f>
        <v>1382.5</v>
      </c>
      <c r="I92" s="102"/>
      <c r="J92" s="102">
        <f>0.1</f>
        <v>0.1</v>
      </c>
      <c r="K92" s="102">
        <f t="shared" ref="K92:K93" si="146">SUM(H92,J92)</f>
        <v>1382.6</v>
      </c>
      <c r="L92" s="103" t="s">
        <v>225</v>
      </c>
      <c r="M92" s="102"/>
      <c r="N92" s="102">
        <f t="shared" ref="N92:N94" si="147">SUM(K92,M92)</f>
        <v>1382.6</v>
      </c>
      <c r="O92" s="103"/>
      <c r="P92" s="123"/>
      <c r="Q92" s="123">
        <f t="shared" ref="Q92:Q94" si="148">SUM(N92,P92)</f>
        <v>1382.6</v>
      </c>
      <c r="R92" s="131"/>
      <c r="S92" s="123">
        <f>-288.4</f>
        <v>-288.39999999999998</v>
      </c>
      <c r="T92" s="146">
        <f t="shared" ref="T92:T94" si="149">SUM(Q92,S92)</f>
        <v>1094.1999999999998</v>
      </c>
      <c r="U92" s="148" t="s">
        <v>423</v>
      </c>
    </row>
    <row r="93" spans="1:21" ht="39.75" hidden="1" customHeight="1" outlineLevel="1" x14ac:dyDescent="0.2">
      <c r="A93" s="81"/>
      <c r="B93" s="100" t="s">
        <v>111</v>
      </c>
      <c r="C93" s="101" t="s">
        <v>24</v>
      </c>
      <c r="D93" s="101" t="s">
        <v>12</v>
      </c>
      <c r="E93" s="101" t="s">
        <v>7</v>
      </c>
      <c r="F93" s="102">
        <v>38000</v>
      </c>
      <c r="G93" s="102"/>
      <c r="H93" s="102">
        <f>SUM(F93:G93)</f>
        <v>38000</v>
      </c>
      <c r="I93" s="102"/>
      <c r="J93" s="102"/>
      <c r="K93" s="102">
        <f t="shared" si="146"/>
        <v>38000</v>
      </c>
      <c r="L93" s="103"/>
      <c r="M93" s="102">
        <f>-327.2-22.3-4.7-413.1-176.1+200-831.4+2123.6</f>
        <v>548.79999999999995</v>
      </c>
      <c r="N93" s="102">
        <f t="shared" si="147"/>
        <v>38548.800000000003</v>
      </c>
      <c r="O93" s="103" t="s">
        <v>316</v>
      </c>
      <c r="P93" s="123">
        <f>-270+417-85.1+300-39.4+200-2052.5+1250+1056.5</f>
        <v>776.5</v>
      </c>
      <c r="Q93" s="123">
        <f t="shared" si="148"/>
        <v>39325.300000000003</v>
      </c>
      <c r="R93" s="135" t="s">
        <v>384</v>
      </c>
      <c r="S93" s="123"/>
      <c r="T93" s="146">
        <f t="shared" si="149"/>
        <v>39325.300000000003</v>
      </c>
      <c r="U93" s="154"/>
    </row>
    <row r="94" spans="1:21" ht="55.5" hidden="1" customHeight="1" outlineLevel="1" x14ac:dyDescent="0.2">
      <c r="A94" s="81"/>
      <c r="B94" s="100" t="s">
        <v>295</v>
      </c>
      <c r="C94" s="101" t="s">
        <v>24</v>
      </c>
      <c r="D94" s="101" t="s">
        <v>12</v>
      </c>
      <c r="E94" s="105" t="s">
        <v>13</v>
      </c>
      <c r="F94" s="102">
        <v>0</v>
      </c>
      <c r="G94" s="102"/>
      <c r="H94" s="102">
        <v>0</v>
      </c>
      <c r="I94" s="102"/>
      <c r="J94" s="102"/>
      <c r="K94" s="102">
        <v>0</v>
      </c>
      <c r="L94" s="103"/>
      <c r="M94" s="102">
        <v>8654</v>
      </c>
      <c r="N94" s="102">
        <f t="shared" si="147"/>
        <v>8654</v>
      </c>
      <c r="O94" s="103" t="s">
        <v>296</v>
      </c>
      <c r="P94" s="102">
        <f>74.9</f>
        <v>74.900000000000006</v>
      </c>
      <c r="Q94" s="102">
        <f t="shared" si="148"/>
        <v>8728.9</v>
      </c>
      <c r="R94" s="82" t="s">
        <v>344</v>
      </c>
      <c r="S94" s="102"/>
      <c r="T94" s="145">
        <f t="shared" si="149"/>
        <v>8728.9</v>
      </c>
      <c r="U94" s="148"/>
    </row>
    <row r="95" spans="1:21" s="80" customFormat="1" ht="109.5" customHeight="1" collapsed="1" x14ac:dyDescent="0.2">
      <c r="A95" s="78"/>
      <c r="B95" s="96" t="s">
        <v>112</v>
      </c>
      <c r="C95" s="97" t="s">
        <v>24</v>
      </c>
      <c r="D95" s="97" t="s">
        <v>10</v>
      </c>
      <c r="E95" s="97" t="s">
        <v>3</v>
      </c>
      <c r="F95" s="98">
        <f>SUM(F96:F98)</f>
        <v>22761.7</v>
      </c>
      <c r="G95" s="98">
        <f t="shared" ref="G95:H95" si="150">SUM(G96:G98)</f>
        <v>17159.599999999999</v>
      </c>
      <c r="H95" s="98">
        <f t="shared" si="150"/>
        <v>39921.299999999996</v>
      </c>
      <c r="I95" s="99" t="s">
        <v>200</v>
      </c>
      <c r="J95" s="98">
        <f t="shared" ref="J95:K95" si="151">SUM(J96:J98)</f>
        <v>-983.99999999999989</v>
      </c>
      <c r="K95" s="98">
        <f t="shared" si="151"/>
        <v>38937.299999999996</v>
      </c>
      <c r="L95" s="99" t="s">
        <v>223</v>
      </c>
      <c r="M95" s="98">
        <f t="shared" ref="M95:N95" si="152">SUM(M96:M98)</f>
        <v>-1295</v>
      </c>
      <c r="N95" s="98">
        <f t="shared" si="152"/>
        <v>37642.299999999996</v>
      </c>
      <c r="O95" s="99" t="s">
        <v>323</v>
      </c>
      <c r="P95" s="98">
        <f t="shared" ref="P95:Q95" si="153">SUM(P96:P98)</f>
        <v>-512.90000000000009</v>
      </c>
      <c r="Q95" s="98">
        <f t="shared" si="153"/>
        <v>37129.399999999994</v>
      </c>
      <c r="R95" s="79" t="s">
        <v>392</v>
      </c>
      <c r="S95" s="98">
        <f t="shared" ref="S95:T95" si="154">SUM(S96:S98)</f>
        <v>11679.699999999999</v>
      </c>
      <c r="T95" s="144">
        <f t="shared" si="154"/>
        <v>48809.1</v>
      </c>
      <c r="U95" s="151" t="s">
        <v>474</v>
      </c>
    </row>
    <row r="96" spans="1:21" ht="82.5" hidden="1" customHeight="1" outlineLevel="1" x14ac:dyDescent="0.2">
      <c r="A96" s="81"/>
      <c r="B96" s="100" t="s">
        <v>113</v>
      </c>
      <c r="C96" s="101" t="s">
        <v>24</v>
      </c>
      <c r="D96" s="101" t="s">
        <v>10</v>
      </c>
      <c r="E96" s="101" t="s">
        <v>8</v>
      </c>
      <c r="F96" s="102">
        <v>10682.6</v>
      </c>
      <c r="G96" s="102">
        <f>2159.6+15000</f>
        <v>17159.599999999999</v>
      </c>
      <c r="H96" s="102">
        <f>SUM(F96:G96)</f>
        <v>27842.199999999997</v>
      </c>
      <c r="I96" s="103" t="s">
        <v>200</v>
      </c>
      <c r="J96" s="102">
        <f>-1386.6+402.6</f>
        <v>-983.99999999999989</v>
      </c>
      <c r="K96" s="102">
        <f t="shared" ref="K96:K98" si="155">SUM(H96,J96)</f>
        <v>26858.199999999997</v>
      </c>
      <c r="L96" s="103" t="s">
        <v>222</v>
      </c>
      <c r="M96" s="102">
        <f>-2.8-1292.2</f>
        <v>-1295</v>
      </c>
      <c r="N96" s="102">
        <f t="shared" ref="N96:N98" si="156">SUM(K96,M96)</f>
        <v>25563.199999999997</v>
      </c>
      <c r="O96" s="103" t="s">
        <v>318</v>
      </c>
      <c r="P96" s="102">
        <f>-677.7-297.3</f>
        <v>-975</v>
      </c>
      <c r="Q96" s="102">
        <f t="shared" ref="Q96:Q98" si="157">SUM(N96,P96)</f>
        <v>24588.199999999997</v>
      </c>
      <c r="R96" s="136" t="s">
        <v>365</v>
      </c>
      <c r="S96" s="102">
        <v>12760.9</v>
      </c>
      <c r="T96" s="145">
        <f t="shared" ref="T96:T98" si="158">SUM(Q96,S96)</f>
        <v>37349.1</v>
      </c>
      <c r="U96" s="130" t="s">
        <v>433</v>
      </c>
    </row>
    <row r="97" spans="1:21" ht="75.75" hidden="1" customHeight="1" outlineLevel="1" x14ac:dyDescent="0.2">
      <c r="A97" s="81"/>
      <c r="B97" s="100" t="s">
        <v>114</v>
      </c>
      <c r="C97" s="101" t="s">
        <v>24</v>
      </c>
      <c r="D97" s="101" t="s">
        <v>10</v>
      </c>
      <c r="E97" s="101" t="s">
        <v>7</v>
      </c>
      <c r="F97" s="102">
        <v>4300</v>
      </c>
      <c r="G97" s="102"/>
      <c r="H97" s="102">
        <f t="shared" ref="H97:H98" si="159">SUM(F97:G97)</f>
        <v>4300</v>
      </c>
      <c r="I97" s="102"/>
      <c r="J97" s="102"/>
      <c r="K97" s="102">
        <f t="shared" si="155"/>
        <v>4300</v>
      </c>
      <c r="L97" s="103"/>
      <c r="M97" s="102"/>
      <c r="N97" s="102">
        <f t="shared" si="156"/>
        <v>4300</v>
      </c>
      <c r="O97" s="103"/>
      <c r="P97" s="102">
        <f>79.1+2618.9</f>
        <v>2698</v>
      </c>
      <c r="Q97" s="102">
        <f t="shared" si="157"/>
        <v>6998</v>
      </c>
      <c r="R97" s="82" t="s">
        <v>370</v>
      </c>
      <c r="S97" s="102"/>
      <c r="T97" s="145">
        <f t="shared" si="158"/>
        <v>6998</v>
      </c>
      <c r="U97" s="148"/>
    </row>
    <row r="98" spans="1:21" ht="110.25" hidden="1" customHeight="1" outlineLevel="1" x14ac:dyDescent="0.2">
      <c r="A98" s="81"/>
      <c r="B98" s="100" t="s">
        <v>115</v>
      </c>
      <c r="C98" s="101" t="s">
        <v>24</v>
      </c>
      <c r="D98" s="101" t="s">
        <v>10</v>
      </c>
      <c r="E98" s="101" t="s">
        <v>13</v>
      </c>
      <c r="F98" s="102">
        <v>7779.1</v>
      </c>
      <c r="G98" s="102"/>
      <c r="H98" s="102">
        <f t="shared" si="159"/>
        <v>7779.1</v>
      </c>
      <c r="I98" s="102"/>
      <c r="J98" s="102"/>
      <c r="K98" s="102">
        <f t="shared" si="155"/>
        <v>7779.1</v>
      </c>
      <c r="L98" s="103"/>
      <c r="M98" s="102"/>
      <c r="N98" s="102">
        <f t="shared" si="156"/>
        <v>7779.1</v>
      </c>
      <c r="O98" s="103"/>
      <c r="P98" s="102">
        <v>-2235.9</v>
      </c>
      <c r="Q98" s="102">
        <f t="shared" si="157"/>
        <v>5543.2000000000007</v>
      </c>
      <c r="R98" s="82" t="s">
        <v>381</v>
      </c>
      <c r="S98" s="102">
        <v>-1081.2</v>
      </c>
      <c r="T98" s="102">
        <f t="shared" si="158"/>
        <v>4462.0000000000009</v>
      </c>
      <c r="U98" s="130" t="s">
        <v>454</v>
      </c>
    </row>
    <row r="99" spans="1:21" s="80" customFormat="1" ht="45" customHeight="1" collapsed="1" x14ac:dyDescent="0.2">
      <c r="A99" s="78"/>
      <c r="B99" s="96" t="s">
        <v>116</v>
      </c>
      <c r="C99" s="97" t="s">
        <v>24</v>
      </c>
      <c r="D99" s="97" t="s">
        <v>14</v>
      </c>
      <c r="E99" s="97" t="s">
        <v>3</v>
      </c>
      <c r="F99" s="98">
        <f>SUM(F100)</f>
        <v>100</v>
      </c>
      <c r="G99" s="98">
        <f t="shared" ref="G99:T99" si="160">SUM(G100)</f>
        <v>0</v>
      </c>
      <c r="H99" s="98">
        <f t="shared" si="160"/>
        <v>100</v>
      </c>
      <c r="I99" s="98"/>
      <c r="J99" s="98">
        <f t="shared" si="160"/>
        <v>0</v>
      </c>
      <c r="K99" s="98">
        <f t="shared" si="160"/>
        <v>100</v>
      </c>
      <c r="L99" s="99"/>
      <c r="M99" s="98">
        <f t="shared" si="160"/>
        <v>0</v>
      </c>
      <c r="N99" s="98">
        <f t="shared" si="160"/>
        <v>100</v>
      </c>
      <c r="O99" s="99"/>
      <c r="P99" s="98">
        <f t="shared" si="160"/>
        <v>-90.2</v>
      </c>
      <c r="Q99" s="98">
        <f t="shared" si="160"/>
        <v>9.7999999999999972</v>
      </c>
      <c r="R99" s="79" t="s">
        <v>355</v>
      </c>
      <c r="S99" s="98">
        <f t="shared" si="160"/>
        <v>0</v>
      </c>
      <c r="T99" s="144">
        <f t="shared" si="160"/>
        <v>9.7999999999999972</v>
      </c>
      <c r="U99" s="151"/>
    </row>
    <row r="100" spans="1:21" ht="36" hidden="1" customHeight="1" outlineLevel="1" x14ac:dyDescent="0.2">
      <c r="A100" s="81"/>
      <c r="B100" s="100" t="s">
        <v>117</v>
      </c>
      <c r="C100" s="101" t="s">
        <v>24</v>
      </c>
      <c r="D100" s="101" t="s">
        <v>14</v>
      </c>
      <c r="E100" s="101" t="s">
        <v>8</v>
      </c>
      <c r="F100" s="102">
        <v>100</v>
      </c>
      <c r="G100" s="102"/>
      <c r="H100" s="102">
        <f>SUM(F100:G100)</f>
        <v>100</v>
      </c>
      <c r="I100" s="102"/>
      <c r="J100" s="102"/>
      <c r="K100" s="102">
        <f>SUM(H100,J100)</f>
        <v>100</v>
      </c>
      <c r="L100" s="103"/>
      <c r="M100" s="102"/>
      <c r="N100" s="102">
        <f>SUM(K100,M100)</f>
        <v>100</v>
      </c>
      <c r="O100" s="103"/>
      <c r="P100" s="102">
        <f>-33-57.2</f>
        <v>-90.2</v>
      </c>
      <c r="Q100" s="102">
        <f>SUM(N100,P100)</f>
        <v>9.7999999999999972</v>
      </c>
      <c r="R100" s="82" t="s">
        <v>355</v>
      </c>
      <c r="S100" s="102"/>
      <c r="T100" s="145">
        <f>SUM(Q100,S100)</f>
        <v>9.7999999999999972</v>
      </c>
      <c r="U100" s="148"/>
    </row>
    <row r="101" spans="1:21" s="80" customFormat="1" ht="36" customHeight="1" collapsed="1" x14ac:dyDescent="0.2">
      <c r="A101" s="78"/>
      <c r="B101" s="96" t="s">
        <v>118</v>
      </c>
      <c r="C101" s="97" t="s">
        <v>24</v>
      </c>
      <c r="D101" s="97" t="s">
        <v>17</v>
      </c>
      <c r="E101" s="97" t="s">
        <v>3</v>
      </c>
      <c r="F101" s="98">
        <f>SUM(F102)</f>
        <v>1500</v>
      </c>
      <c r="G101" s="98">
        <f t="shared" ref="G101:T101" si="161">SUM(G102)</f>
        <v>0</v>
      </c>
      <c r="H101" s="98">
        <f t="shared" si="161"/>
        <v>1500</v>
      </c>
      <c r="I101" s="98"/>
      <c r="J101" s="98">
        <f t="shared" si="161"/>
        <v>0</v>
      </c>
      <c r="K101" s="98">
        <f t="shared" si="161"/>
        <v>1500</v>
      </c>
      <c r="L101" s="99"/>
      <c r="M101" s="98">
        <f t="shared" si="161"/>
        <v>0</v>
      </c>
      <c r="N101" s="98">
        <f t="shared" si="161"/>
        <v>1500</v>
      </c>
      <c r="O101" s="99"/>
      <c r="P101" s="98">
        <f t="shared" si="161"/>
        <v>-194.5</v>
      </c>
      <c r="Q101" s="98">
        <f t="shared" si="161"/>
        <v>1305.5</v>
      </c>
      <c r="R101" s="79" t="s">
        <v>386</v>
      </c>
      <c r="S101" s="98">
        <f t="shared" si="161"/>
        <v>0</v>
      </c>
      <c r="T101" s="144">
        <f t="shared" si="161"/>
        <v>1305.5</v>
      </c>
      <c r="U101" s="151"/>
    </row>
    <row r="102" spans="1:21" ht="107.25" hidden="1" customHeight="1" outlineLevel="1" x14ac:dyDescent="0.2">
      <c r="A102" s="81"/>
      <c r="B102" s="100" t="s">
        <v>119</v>
      </c>
      <c r="C102" s="101" t="s">
        <v>24</v>
      </c>
      <c r="D102" s="101" t="s">
        <v>17</v>
      </c>
      <c r="E102" s="101" t="s">
        <v>8</v>
      </c>
      <c r="F102" s="102">
        <v>1500</v>
      </c>
      <c r="G102" s="102"/>
      <c r="H102" s="102">
        <f>SUM(F102:G102)</f>
        <v>1500</v>
      </c>
      <c r="I102" s="102"/>
      <c r="J102" s="102"/>
      <c r="K102" s="102">
        <f>SUM(H102,J102)</f>
        <v>1500</v>
      </c>
      <c r="L102" s="103"/>
      <c r="M102" s="102"/>
      <c r="N102" s="102">
        <f>SUM(K102,M102)</f>
        <v>1500</v>
      </c>
      <c r="O102" s="103"/>
      <c r="P102" s="102">
        <f>-194.5</f>
        <v>-194.5</v>
      </c>
      <c r="Q102" s="102">
        <f>SUM(N102,P102)</f>
        <v>1305.5</v>
      </c>
      <c r="R102" s="82" t="s">
        <v>385</v>
      </c>
      <c r="S102" s="102"/>
      <c r="T102" s="145">
        <f>SUM(Q102,S102)</f>
        <v>1305.5</v>
      </c>
      <c r="U102" s="148"/>
    </row>
    <row r="103" spans="1:21" s="80" customFormat="1" ht="27" customHeight="1" collapsed="1" x14ac:dyDescent="0.2">
      <c r="A103" s="78"/>
      <c r="B103" s="96" t="s">
        <v>120</v>
      </c>
      <c r="C103" s="97" t="s">
        <v>24</v>
      </c>
      <c r="D103" s="97" t="s">
        <v>23</v>
      </c>
      <c r="E103" s="97" t="s">
        <v>3</v>
      </c>
      <c r="F103" s="98">
        <f>SUM(F104)</f>
        <v>1700</v>
      </c>
      <c r="G103" s="98">
        <f t="shared" ref="G103:T103" si="162">SUM(G104)</f>
        <v>0</v>
      </c>
      <c r="H103" s="98">
        <f t="shared" si="162"/>
        <v>1700</v>
      </c>
      <c r="I103" s="98"/>
      <c r="J103" s="98">
        <f t="shared" si="162"/>
        <v>0</v>
      </c>
      <c r="K103" s="98">
        <f t="shared" si="162"/>
        <v>1700</v>
      </c>
      <c r="L103" s="99"/>
      <c r="M103" s="98">
        <f t="shared" si="162"/>
        <v>0</v>
      </c>
      <c r="N103" s="98">
        <f t="shared" si="162"/>
        <v>1700</v>
      </c>
      <c r="O103" s="99"/>
      <c r="P103" s="98">
        <f t="shared" si="162"/>
        <v>0</v>
      </c>
      <c r="Q103" s="98">
        <f t="shared" si="162"/>
        <v>1700</v>
      </c>
      <c r="R103" s="79"/>
      <c r="S103" s="98">
        <f t="shared" si="162"/>
        <v>0</v>
      </c>
      <c r="T103" s="144">
        <f t="shared" si="162"/>
        <v>1700</v>
      </c>
      <c r="U103" s="151"/>
    </row>
    <row r="104" spans="1:21" ht="43.5" hidden="1" customHeight="1" outlineLevel="1" x14ac:dyDescent="0.2">
      <c r="A104" s="81"/>
      <c r="B104" s="100" t="s">
        <v>121</v>
      </c>
      <c r="C104" s="101" t="s">
        <v>24</v>
      </c>
      <c r="D104" s="101" t="s">
        <v>23</v>
      </c>
      <c r="E104" s="101" t="s">
        <v>8</v>
      </c>
      <c r="F104" s="102">
        <v>1700</v>
      </c>
      <c r="G104" s="102"/>
      <c r="H104" s="102">
        <f>SUM(F104:G104)</f>
        <v>1700</v>
      </c>
      <c r="I104" s="102"/>
      <c r="J104" s="102"/>
      <c r="K104" s="102">
        <f>SUM(H104,J104)</f>
        <v>1700</v>
      </c>
      <c r="L104" s="103"/>
      <c r="M104" s="102"/>
      <c r="N104" s="102">
        <f>SUM(K104,M104)</f>
        <v>1700</v>
      </c>
      <c r="O104" s="103"/>
      <c r="P104" s="102"/>
      <c r="Q104" s="102">
        <f>SUM(N104,P104)</f>
        <v>1700</v>
      </c>
      <c r="R104" s="82"/>
      <c r="S104" s="102"/>
      <c r="T104" s="145">
        <f>SUM(Q104,S104)</f>
        <v>1700</v>
      </c>
      <c r="U104" s="148"/>
    </row>
    <row r="105" spans="1:21" s="77" customFormat="1" ht="46.5" customHeight="1" collapsed="1" x14ac:dyDescent="0.2">
      <c r="A105" s="75"/>
      <c r="B105" s="92" t="s">
        <v>122</v>
      </c>
      <c r="C105" s="93" t="s">
        <v>22</v>
      </c>
      <c r="D105" s="93" t="s">
        <v>3</v>
      </c>
      <c r="E105" s="93" t="s">
        <v>3</v>
      </c>
      <c r="F105" s="94">
        <f>SUM(F106)</f>
        <v>16192.2</v>
      </c>
      <c r="G105" s="94">
        <f t="shared" ref="G105:T105" si="163">SUM(G106)</f>
        <v>0</v>
      </c>
      <c r="H105" s="94">
        <f t="shared" si="163"/>
        <v>16192.2</v>
      </c>
      <c r="I105" s="94"/>
      <c r="J105" s="94">
        <f t="shared" si="163"/>
        <v>0</v>
      </c>
      <c r="K105" s="94">
        <f t="shared" si="163"/>
        <v>16192.2</v>
      </c>
      <c r="L105" s="95"/>
      <c r="M105" s="94">
        <f t="shared" si="163"/>
        <v>0</v>
      </c>
      <c r="N105" s="94">
        <f t="shared" si="163"/>
        <v>16192.2</v>
      </c>
      <c r="O105" s="95"/>
      <c r="P105" s="94">
        <f t="shared" si="163"/>
        <v>0</v>
      </c>
      <c r="Q105" s="94">
        <f t="shared" si="163"/>
        <v>16192.2</v>
      </c>
      <c r="R105" s="76"/>
      <c r="S105" s="94">
        <f t="shared" si="163"/>
        <v>-208.8</v>
      </c>
      <c r="T105" s="127">
        <f t="shared" si="163"/>
        <v>15983.400000000001</v>
      </c>
      <c r="U105" s="150" t="s">
        <v>422</v>
      </c>
    </row>
    <row r="106" spans="1:21" ht="42.75" hidden="1" customHeight="1" outlineLevel="1" x14ac:dyDescent="0.2">
      <c r="A106" s="81"/>
      <c r="B106" s="100" t="s">
        <v>123</v>
      </c>
      <c r="C106" s="101" t="s">
        <v>22</v>
      </c>
      <c r="D106" s="101" t="s">
        <v>1</v>
      </c>
      <c r="E106" s="101" t="s">
        <v>8</v>
      </c>
      <c r="F106" s="102">
        <v>16192.2</v>
      </c>
      <c r="G106" s="102"/>
      <c r="H106" s="102">
        <f>SUM(F106:G106)</f>
        <v>16192.2</v>
      </c>
      <c r="I106" s="102"/>
      <c r="J106" s="102"/>
      <c r="K106" s="102">
        <f>SUM(H106,J106)</f>
        <v>16192.2</v>
      </c>
      <c r="L106" s="103"/>
      <c r="M106" s="102"/>
      <c r="N106" s="102">
        <f>SUM(K106,M106)</f>
        <v>16192.2</v>
      </c>
      <c r="O106" s="103"/>
      <c r="P106" s="102"/>
      <c r="Q106" s="102">
        <f>SUM(N106,P106)</f>
        <v>16192.2</v>
      </c>
      <c r="R106" s="82"/>
      <c r="S106" s="102">
        <v>-208.8</v>
      </c>
      <c r="T106" s="145">
        <f>SUM(Q106,S106)</f>
        <v>15983.400000000001</v>
      </c>
      <c r="U106" s="148" t="s">
        <v>422</v>
      </c>
    </row>
    <row r="107" spans="1:21" s="77" customFormat="1" ht="39" customHeight="1" collapsed="1" x14ac:dyDescent="0.2">
      <c r="A107" s="75"/>
      <c r="B107" s="92" t="s">
        <v>124</v>
      </c>
      <c r="C107" s="93" t="s">
        <v>21</v>
      </c>
      <c r="D107" s="93" t="s">
        <v>3</v>
      </c>
      <c r="E107" s="93" t="s">
        <v>3</v>
      </c>
      <c r="F107" s="94">
        <f>SUM(F108:F109)</f>
        <v>687.5</v>
      </c>
      <c r="G107" s="94">
        <f t="shared" ref="G107:H107" si="164">SUM(G108:G109)</f>
        <v>0</v>
      </c>
      <c r="H107" s="94">
        <f t="shared" si="164"/>
        <v>687.5</v>
      </c>
      <c r="I107" s="94"/>
      <c r="J107" s="94">
        <f t="shared" ref="J107:K107" si="165">SUM(J108:J109)</f>
        <v>0</v>
      </c>
      <c r="K107" s="94">
        <f t="shared" si="165"/>
        <v>687.5</v>
      </c>
      <c r="L107" s="95"/>
      <c r="M107" s="94">
        <f t="shared" ref="M107:N107" si="166">SUM(M108:M109)</f>
        <v>0</v>
      </c>
      <c r="N107" s="94">
        <f t="shared" si="166"/>
        <v>687.5</v>
      </c>
      <c r="O107" s="95"/>
      <c r="P107" s="94">
        <f t="shared" ref="P107:Q107" si="167">SUM(P108:P109)</f>
        <v>-44.2</v>
      </c>
      <c r="Q107" s="94">
        <f t="shared" si="167"/>
        <v>643.29999999999995</v>
      </c>
      <c r="R107" s="83" t="s">
        <v>387</v>
      </c>
      <c r="S107" s="94">
        <f t="shared" ref="S107:T107" si="168">SUM(S108:S109)</f>
        <v>0</v>
      </c>
      <c r="T107" s="127">
        <f t="shared" si="168"/>
        <v>643.29999999999995</v>
      </c>
      <c r="U107" s="150"/>
    </row>
    <row r="108" spans="1:21" ht="35.25" hidden="1" customHeight="1" outlineLevel="1" x14ac:dyDescent="0.2">
      <c r="A108" s="81"/>
      <c r="B108" s="100" t="s">
        <v>125</v>
      </c>
      <c r="C108" s="101" t="s">
        <v>21</v>
      </c>
      <c r="D108" s="101" t="s">
        <v>1</v>
      </c>
      <c r="E108" s="101" t="s">
        <v>8</v>
      </c>
      <c r="F108" s="102">
        <v>687.5</v>
      </c>
      <c r="G108" s="102"/>
      <c r="H108" s="102">
        <f>SUM(F108:G108)</f>
        <v>687.5</v>
      </c>
      <c r="I108" s="102"/>
      <c r="J108" s="102"/>
      <c r="K108" s="102">
        <f t="shared" ref="K108:K109" si="169">SUM(H108,J108)</f>
        <v>687.5</v>
      </c>
      <c r="L108" s="103"/>
      <c r="M108" s="102"/>
      <c r="N108" s="102">
        <f t="shared" ref="N108:N109" si="170">SUM(K108,M108)</f>
        <v>687.5</v>
      </c>
      <c r="O108" s="103"/>
      <c r="P108" s="102">
        <v>-44.2</v>
      </c>
      <c r="Q108" s="102">
        <f t="shared" ref="Q108:Q109" si="171">SUM(N108,P108)</f>
        <v>643.29999999999995</v>
      </c>
      <c r="R108" s="82" t="s">
        <v>387</v>
      </c>
      <c r="S108" s="102"/>
      <c r="T108" s="145">
        <f t="shared" ref="T108:T109" si="172">SUM(Q108,S108)</f>
        <v>643.29999999999995</v>
      </c>
      <c r="U108" s="148"/>
    </row>
    <row r="109" spans="1:21" ht="52.5" hidden="1" customHeight="1" outlineLevel="1" x14ac:dyDescent="0.2">
      <c r="A109" s="81"/>
      <c r="B109" s="100" t="s">
        <v>126</v>
      </c>
      <c r="C109" s="101" t="s">
        <v>21</v>
      </c>
      <c r="D109" s="101" t="s">
        <v>1</v>
      </c>
      <c r="E109" s="101" t="s">
        <v>7</v>
      </c>
      <c r="F109" s="102">
        <v>0</v>
      </c>
      <c r="G109" s="102"/>
      <c r="H109" s="102">
        <f>SUM(F109:G109)</f>
        <v>0</v>
      </c>
      <c r="I109" s="102"/>
      <c r="J109" s="102"/>
      <c r="K109" s="102">
        <f t="shared" si="169"/>
        <v>0</v>
      </c>
      <c r="L109" s="103"/>
      <c r="M109" s="102"/>
      <c r="N109" s="102">
        <f t="shared" si="170"/>
        <v>0</v>
      </c>
      <c r="O109" s="103"/>
      <c r="P109" s="102"/>
      <c r="Q109" s="102">
        <f t="shared" si="171"/>
        <v>0</v>
      </c>
      <c r="R109" s="82"/>
      <c r="S109" s="102"/>
      <c r="T109" s="145">
        <f t="shared" si="172"/>
        <v>0</v>
      </c>
      <c r="U109" s="148"/>
    </row>
    <row r="110" spans="1:21" s="77" customFormat="1" ht="48.75" customHeight="1" collapsed="1" x14ac:dyDescent="0.2">
      <c r="A110" s="75"/>
      <c r="B110" s="92" t="s">
        <v>127</v>
      </c>
      <c r="C110" s="93" t="s">
        <v>20</v>
      </c>
      <c r="D110" s="93" t="s">
        <v>3</v>
      </c>
      <c r="E110" s="93" t="s">
        <v>3</v>
      </c>
      <c r="F110" s="94">
        <f>SUM(F111,F116)</f>
        <v>567.20000000000005</v>
      </c>
      <c r="G110" s="94">
        <f t="shared" ref="G110:H110" si="173">SUM(G111,G116)</f>
        <v>0</v>
      </c>
      <c r="H110" s="94">
        <f t="shared" si="173"/>
        <v>567.20000000000005</v>
      </c>
      <c r="I110" s="94"/>
      <c r="J110" s="94">
        <f t="shared" ref="J110:K110" si="174">SUM(J111,J116)</f>
        <v>2496</v>
      </c>
      <c r="K110" s="94">
        <f t="shared" si="174"/>
        <v>3063.2</v>
      </c>
      <c r="L110" s="95"/>
      <c r="M110" s="94">
        <f t="shared" ref="M110:N110" si="175">SUM(M111,M116)</f>
        <v>0</v>
      </c>
      <c r="N110" s="94">
        <f t="shared" si="175"/>
        <v>3063.2</v>
      </c>
      <c r="O110" s="95"/>
      <c r="P110" s="94">
        <f t="shared" ref="P110:Q110" si="176">SUM(P111,P116)</f>
        <v>-711.69999999999993</v>
      </c>
      <c r="Q110" s="94">
        <f t="shared" si="176"/>
        <v>2351.5000000000005</v>
      </c>
      <c r="R110" s="76"/>
      <c r="S110" s="94">
        <f t="shared" ref="S110:T110" si="177">SUM(S111,S116)</f>
        <v>-1747.2</v>
      </c>
      <c r="T110" s="127">
        <f t="shared" si="177"/>
        <v>604.30000000000018</v>
      </c>
      <c r="U110" s="150"/>
    </row>
    <row r="111" spans="1:21" s="80" customFormat="1" ht="67.5" customHeight="1" x14ac:dyDescent="0.2">
      <c r="A111" s="78"/>
      <c r="B111" s="96" t="s">
        <v>128</v>
      </c>
      <c r="C111" s="97" t="s">
        <v>20</v>
      </c>
      <c r="D111" s="97" t="s">
        <v>12</v>
      </c>
      <c r="E111" s="97" t="s">
        <v>3</v>
      </c>
      <c r="F111" s="98">
        <f>SUM(F112:F115)</f>
        <v>417.2</v>
      </c>
      <c r="G111" s="98">
        <f t="shared" ref="G111:H111" si="178">SUM(G112:G115)</f>
        <v>0</v>
      </c>
      <c r="H111" s="98">
        <f t="shared" si="178"/>
        <v>417.2</v>
      </c>
      <c r="I111" s="98"/>
      <c r="J111" s="98">
        <f t="shared" ref="J111:K111" si="179">SUM(J112:J115)</f>
        <v>2496</v>
      </c>
      <c r="K111" s="98">
        <f t="shared" si="179"/>
        <v>2913.2</v>
      </c>
      <c r="L111" s="99" t="s">
        <v>242</v>
      </c>
      <c r="M111" s="98">
        <f t="shared" ref="M111:N111" si="180">SUM(M112:M115)</f>
        <v>0</v>
      </c>
      <c r="N111" s="98">
        <f t="shared" si="180"/>
        <v>2913.2</v>
      </c>
      <c r="O111" s="99"/>
      <c r="P111" s="98">
        <f t="shared" ref="P111:Q111" si="181">SUM(P112:P115)</f>
        <v>-711.69999999999993</v>
      </c>
      <c r="Q111" s="98">
        <f t="shared" si="181"/>
        <v>2201.5000000000005</v>
      </c>
      <c r="R111" s="79" t="s">
        <v>388</v>
      </c>
      <c r="S111" s="98">
        <f t="shared" ref="S111:T111" si="182">SUM(S112:S115)</f>
        <v>-1747.2</v>
      </c>
      <c r="T111" s="144">
        <f t="shared" si="182"/>
        <v>454.30000000000018</v>
      </c>
      <c r="U111" s="151" t="s">
        <v>425</v>
      </c>
    </row>
    <row r="112" spans="1:21" ht="22.5" hidden="1" customHeight="1" outlineLevel="1" x14ac:dyDescent="0.2">
      <c r="A112" s="81"/>
      <c r="B112" s="100" t="s">
        <v>129</v>
      </c>
      <c r="C112" s="101" t="s">
        <v>20</v>
      </c>
      <c r="D112" s="101" t="s">
        <v>12</v>
      </c>
      <c r="E112" s="101" t="s">
        <v>8</v>
      </c>
      <c r="F112" s="102">
        <v>67.2</v>
      </c>
      <c r="G112" s="102"/>
      <c r="H112" s="102">
        <f>SUM(F112:G112)</f>
        <v>67.2</v>
      </c>
      <c r="I112" s="102"/>
      <c r="J112" s="102"/>
      <c r="K112" s="102">
        <f t="shared" ref="K112:K115" si="183">SUM(H112,J112)</f>
        <v>67.2</v>
      </c>
      <c r="L112" s="103"/>
      <c r="M112" s="102"/>
      <c r="N112" s="102">
        <f t="shared" ref="N112:N115" si="184">SUM(K112,M112)</f>
        <v>67.2</v>
      </c>
      <c r="O112" s="103"/>
      <c r="P112" s="102"/>
      <c r="Q112" s="102">
        <f t="shared" ref="Q112:Q115" si="185">SUM(N112,P112)</f>
        <v>67.2</v>
      </c>
      <c r="R112" s="82"/>
      <c r="S112" s="102"/>
      <c r="T112" s="145">
        <f t="shared" ref="T112:T115" si="186">SUM(Q112,S112)</f>
        <v>67.2</v>
      </c>
      <c r="U112" s="148"/>
    </row>
    <row r="113" spans="1:22" ht="74.25" hidden="1" customHeight="1" outlineLevel="1" x14ac:dyDescent="0.2">
      <c r="A113" s="81"/>
      <c r="B113" s="100" t="s">
        <v>130</v>
      </c>
      <c r="C113" s="101" t="s">
        <v>20</v>
      </c>
      <c r="D113" s="101" t="s">
        <v>12</v>
      </c>
      <c r="E113" s="101" t="s">
        <v>7</v>
      </c>
      <c r="F113" s="102">
        <v>200</v>
      </c>
      <c r="G113" s="102">
        <f>-54</f>
        <v>-54</v>
      </c>
      <c r="H113" s="102">
        <f t="shared" ref="H113:H115" si="187">SUM(F113:G113)</f>
        <v>146</v>
      </c>
      <c r="I113" s="103" t="s">
        <v>182</v>
      </c>
      <c r="J113" s="102">
        <f>748.8+1747.2</f>
        <v>2496</v>
      </c>
      <c r="K113" s="102">
        <f t="shared" si="183"/>
        <v>2642</v>
      </c>
      <c r="L113" s="103" t="s">
        <v>224</v>
      </c>
      <c r="M113" s="102">
        <v>-18.5</v>
      </c>
      <c r="N113" s="102">
        <f t="shared" si="184"/>
        <v>2623.5</v>
      </c>
      <c r="O113" s="103" t="s">
        <v>262</v>
      </c>
      <c r="P113" s="102">
        <f>37.1-748.8</f>
        <v>-711.69999999999993</v>
      </c>
      <c r="Q113" s="102">
        <f>SUM(N113,P113)+48.9</f>
        <v>1960.7000000000003</v>
      </c>
      <c r="R113" s="82" t="s">
        <v>388</v>
      </c>
      <c r="S113" s="102">
        <f>-1747.2</f>
        <v>-1747.2</v>
      </c>
      <c r="T113" s="145">
        <f t="shared" si="186"/>
        <v>213.50000000000023</v>
      </c>
      <c r="U113" s="148" t="s">
        <v>425</v>
      </c>
    </row>
    <row r="114" spans="1:22" ht="34.5" hidden="1" customHeight="1" outlineLevel="1" x14ac:dyDescent="0.2">
      <c r="A114" s="81"/>
      <c r="B114" s="100" t="s">
        <v>131</v>
      </c>
      <c r="C114" s="101" t="s">
        <v>20</v>
      </c>
      <c r="D114" s="101" t="s">
        <v>12</v>
      </c>
      <c r="E114" s="101" t="s">
        <v>13</v>
      </c>
      <c r="F114" s="102">
        <v>100</v>
      </c>
      <c r="G114" s="102">
        <f>54</f>
        <v>54</v>
      </c>
      <c r="H114" s="102">
        <f t="shared" si="187"/>
        <v>154</v>
      </c>
      <c r="I114" s="103" t="s">
        <v>181</v>
      </c>
      <c r="J114" s="102"/>
      <c r="K114" s="102">
        <f t="shared" si="183"/>
        <v>154</v>
      </c>
      <c r="L114" s="103"/>
      <c r="M114" s="102">
        <v>18.5</v>
      </c>
      <c r="N114" s="102">
        <f t="shared" si="184"/>
        <v>172.5</v>
      </c>
      <c r="O114" s="103" t="s">
        <v>263</v>
      </c>
      <c r="P114" s="102"/>
      <c r="Q114" s="102">
        <f>SUM(N114,P114)-48.9</f>
        <v>123.6</v>
      </c>
      <c r="R114" s="82"/>
      <c r="S114" s="102"/>
      <c r="T114" s="145">
        <f t="shared" si="186"/>
        <v>123.6</v>
      </c>
      <c r="U114" s="148"/>
    </row>
    <row r="115" spans="1:22" ht="21.75" hidden="1" customHeight="1" outlineLevel="1" x14ac:dyDescent="0.2">
      <c r="A115" s="81"/>
      <c r="B115" s="100" t="s">
        <v>132</v>
      </c>
      <c r="C115" s="101" t="s">
        <v>20</v>
      </c>
      <c r="D115" s="101" t="s">
        <v>12</v>
      </c>
      <c r="E115" s="101" t="s">
        <v>6</v>
      </c>
      <c r="F115" s="102">
        <v>50</v>
      </c>
      <c r="G115" s="102"/>
      <c r="H115" s="102">
        <f t="shared" si="187"/>
        <v>50</v>
      </c>
      <c r="I115" s="102"/>
      <c r="J115" s="102"/>
      <c r="K115" s="102">
        <f t="shared" si="183"/>
        <v>50</v>
      </c>
      <c r="L115" s="103"/>
      <c r="M115" s="102"/>
      <c r="N115" s="102">
        <f t="shared" si="184"/>
        <v>50</v>
      </c>
      <c r="O115" s="103"/>
      <c r="P115" s="102"/>
      <c r="Q115" s="102">
        <f t="shared" si="185"/>
        <v>50</v>
      </c>
      <c r="R115" s="82"/>
      <c r="S115" s="102"/>
      <c r="T115" s="145">
        <f t="shared" si="186"/>
        <v>50</v>
      </c>
      <c r="U115" s="148"/>
    </row>
    <row r="116" spans="1:22" s="80" customFormat="1" ht="36" customHeight="1" collapsed="1" x14ac:dyDescent="0.2">
      <c r="A116" s="78"/>
      <c r="B116" s="96" t="s">
        <v>133</v>
      </c>
      <c r="C116" s="97" t="s">
        <v>20</v>
      </c>
      <c r="D116" s="97" t="s">
        <v>10</v>
      </c>
      <c r="E116" s="97" t="s">
        <v>3</v>
      </c>
      <c r="F116" s="98">
        <f>SUM(F117)</f>
        <v>150</v>
      </c>
      <c r="G116" s="98">
        <f t="shared" ref="G116:T116" si="188">SUM(G117)</f>
        <v>0</v>
      </c>
      <c r="H116" s="98">
        <f t="shared" si="188"/>
        <v>150</v>
      </c>
      <c r="I116" s="98"/>
      <c r="J116" s="98">
        <f t="shared" si="188"/>
        <v>0</v>
      </c>
      <c r="K116" s="98">
        <f t="shared" si="188"/>
        <v>150</v>
      </c>
      <c r="L116" s="99"/>
      <c r="M116" s="98">
        <f t="shared" si="188"/>
        <v>0</v>
      </c>
      <c r="N116" s="98">
        <f t="shared" si="188"/>
        <v>150</v>
      </c>
      <c r="O116" s="99"/>
      <c r="P116" s="98">
        <f t="shared" si="188"/>
        <v>0</v>
      </c>
      <c r="Q116" s="98">
        <f t="shared" si="188"/>
        <v>150</v>
      </c>
      <c r="R116" s="79"/>
      <c r="S116" s="98">
        <f t="shared" si="188"/>
        <v>0</v>
      </c>
      <c r="T116" s="144">
        <f t="shared" si="188"/>
        <v>150</v>
      </c>
      <c r="U116" s="151"/>
    </row>
    <row r="117" spans="1:22" ht="12.75" hidden="1" customHeight="1" outlineLevel="1" x14ac:dyDescent="0.2">
      <c r="A117" s="81"/>
      <c r="B117" s="100" t="s">
        <v>134</v>
      </c>
      <c r="C117" s="101" t="s">
        <v>20</v>
      </c>
      <c r="D117" s="101" t="s">
        <v>10</v>
      </c>
      <c r="E117" s="101" t="s">
        <v>8</v>
      </c>
      <c r="F117" s="102">
        <v>150</v>
      </c>
      <c r="G117" s="102"/>
      <c r="H117" s="102">
        <f>SUM(F117:G117)</f>
        <v>150</v>
      </c>
      <c r="I117" s="102"/>
      <c r="J117" s="102"/>
      <c r="K117" s="102">
        <f>SUM(H117,J117)</f>
        <v>150</v>
      </c>
      <c r="L117" s="103"/>
      <c r="M117" s="102"/>
      <c r="N117" s="102">
        <f>SUM(K117,M117)</f>
        <v>150</v>
      </c>
      <c r="O117" s="103"/>
      <c r="P117" s="102"/>
      <c r="Q117" s="102">
        <f>SUM(N117,P117)</f>
        <v>150</v>
      </c>
      <c r="R117" s="82"/>
      <c r="S117" s="102"/>
      <c r="T117" s="145">
        <f>SUM(Q117,S117)</f>
        <v>150</v>
      </c>
      <c r="U117" s="148"/>
    </row>
    <row r="118" spans="1:22" s="77" customFormat="1" ht="45" customHeight="1" collapsed="1" x14ac:dyDescent="0.2">
      <c r="A118" s="75"/>
      <c r="B118" s="92" t="s">
        <v>135</v>
      </c>
      <c r="C118" s="93" t="s">
        <v>19</v>
      </c>
      <c r="D118" s="93" t="s">
        <v>3</v>
      </c>
      <c r="E118" s="93" t="s">
        <v>3</v>
      </c>
      <c r="F118" s="94">
        <f>SUM(F119,F121)</f>
        <v>350</v>
      </c>
      <c r="G118" s="94">
        <f t="shared" ref="G118:H118" si="189">SUM(G119,G121)</f>
        <v>0</v>
      </c>
      <c r="H118" s="94">
        <f t="shared" si="189"/>
        <v>350</v>
      </c>
      <c r="I118" s="94"/>
      <c r="J118" s="94">
        <f t="shared" ref="J118:K118" si="190">SUM(J119,J121)</f>
        <v>0</v>
      </c>
      <c r="K118" s="94">
        <f t="shared" si="190"/>
        <v>350</v>
      </c>
      <c r="L118" s="95"/>
      <c r="M118" s="94">
        <f t="shared" ref="M118:N118" si="191">SUM(M119,M121)</f>
        <v>0</v>
      </c>
      <c r="N118" s="94">
        <f t="shared" si="191"/>
        <v>350</v>
      </c>
      <c r="O118" s="95"/>
      <c r="P118" s="94">
        <f t="shared" ref="P118:Q118" si="192">SUM(P119,P121)</f>
        <v>0</v>
      </c>
      <c r="Q118" s="94">
        <f t="shared" si="192"/>
        <v>350</v>
      </c>
      <c r="R118" s="76"/>
      <c r="S118" s="94">
        <f t="shared" ref="S118:T118" si="193">SUM(S119,S121)</f>
        <v>0</v>
      </c>
      <c r="T118" s="127">
        <f t="shared" si="193"/>
        <v>350</v>
      </c>
      <c r="U118" s="150"/>
    </row>
    <row r="119" spans="1:22" s="80" customFormat="1" ht="71.25" customHeight="1" x14ac:dyDescent="0.2">
      <c r="A119" s="78"/>
      <c r="B119" s="96" t="s">
        <v>136</v>
      </c>
      <c r="C119" s="97" t="s">
        <v>19</v>
      </c>
      <c r="D119" s="97" t="s">
        <v>12</v>
      </c>
      <c r="E119" s="97" t="s">
        <v>3</v>
      </c>
      <c r="F119" s="98">
        <f>SUM(F120)</f>
        <v>150</v>
      </c>
      <c r="G119" s="98">
        <f t="shared" ref="G119:T119" si="194">SUM(G120)</f>
        <v>0</v>
      </c>
      <c r="H119" s="98">
        <f t="shared" si="194"/>
        <v>150</v>
      </c>
      <c r="I119" s="98"/>
      <c r="J119" s="98">
        <f t="shared" si="194"/>
        <v>0</v>
      </c>
      <c r="K119" s="98">
        <f t="shared" si="194"/>
        <v>150</v>
      </c>
      <c r="L119" s="99"/>
      <c r="M119" s="98">
        <f t="shared" si="194"/>
        <v>0</v>
      </c>
      <c r="N119" s="98">
        <f t="shared" si="194"/>
        <v>150</v>
      </c>
      <c r="O119" s="99"/>
      <c r="P119" s="98">
        <f t="shared" si="194"/>
        <v>0</v>
      </c>
      <c r="Q119" s="98">
        <f t="shared" si="194"/>
        <v>150</v>
      </c>
      <c r="R119" s="79"/>
      <c r="S119" s="98">
        <f t="shared" si="194"/>
        <v>0</v>
      </c>
      <c r="T119" s="144">
        <f t="shared" si="194"/>
        <v>150</v>
      </c>
      <c r="U119" s="151"/>
    </row>
    <row r="120" spans="1:22" ht="43.5" hidden="1" customHeight="1" outlineLevel="1" x14ac:dyDescent="0.2">
      <c r="A120" s="81"/>
      <c r="B120" s="100" t="s">
        <v>137</v>
      </c>
      <c r="C120" s="101" t="s">
        <v>19</v>
      </c>
      <c r="D120" s="101" t="s">
        <v>12</v>
      </c>
      <c r="E120" s="101" t="s">
        <v>8</v>
      </c>
      <c r="F120" s="102">
        <v>150</v>
      </c>
      <c r="G120" s="102"/>
      <c r="H120" s="102">
        <f>SUM(F120:G120)</f>
        <v>150</v>
      </c>
      <c r="I120" s="102"/>
      <c r="J120" s="102"/>
      <c r="K120" s="102">
        <f>SUM(H120,J120)</f>
        <v>150</v>
      </c>
      <c r="L120" s="103"/>
      <c r="M120" s="102"/>
      <c r="N120" s="102">
        <f>SUM(K120,M120)</f>
        <v>150</v>
      </c>
      <c r="O120" s="103"/>
      <c r="P120" s="102"/>
      <c r="Q120" s="102">
        <f>SUM(N120,P120)</f>
        <v>150</v>
      </c>
      <c r="R120" s="82"/>
      <c r="S120" s="102"/>
      <c r="T120" s="145">
        <f>SUM(Q120,S120)</f>
        <v>150</v>
      </c>
      <c r="U120" s="148"/>
    </row>
    <row r="121" spans="1:22" s="80" customFormat="1" ht="32.25" customHeight="1" collapsed="1" x14ac:dyDescent="0.2">
      <c r="A121" s="78"/>
      <c r="B121" s="96" t="s">
        <v>138</v>
      </c>
      <c r="C121" s="97" t="s">
        <v>19</v>
      </c>
      <c r="D121" s="97" t="s">
        <v>10</v>
      </c>
      <c r="E121" s="97" t="s">
        <v>3</v>
      </c>
      <c r="F121" s="98">
        <f>SUM(F122)</f>
        <v>200</v>
      </c>
      <c r="G121" s="98">
        <f t="shared" ref="G121:T121" si="195">SUM(G122)</f>
        <v>0</v>
      </c>
      <c r="H121" s="98">
        <f t="shared" si="195"/>
        <v>200</v>
      </c>
      <c r="I121" s="98"/>
      <c r="J121" s="98">
        <f t="shared" si="195"/>
        <v>0</v>
      </c>
      <c r="K121" s="98">
        <f t="shared" si="195"/>
        <v>200</v>
      </c>
      <c r="L121" s="99"/>
      <c r="M121" s="98">
        <f t="shared" si="195"/>
        <v>0</v>
      </c>
      <c r="N121" s="98">
        <f t="shared" si="195"/>
        <v>200</v>
      </c>
      <c r="O121" s="99"/>
      <c r="P121" s="98">
        <f t="shared" si="195"/>
        <v>0</v>
      </c>
      <c r="Q121" s="98">
        <f t="shared" si="195"/>
        <v>200</v>
      </c>
      <c r="R121" s="79"/>
      <c r="S121" s="98">
        <f t="shared" si="195"/>
        <v>0</v>
      </c>
      <c r="T121" s="144">
        <f t="shared" si="195"/>
        <v>200</v>
      </c>
      <c r="U121" s="151"/>
    </row>
    <row r="122" spans="1:22" ht="36" hidden="1" customHeight="1" outlineLevel="1" x14ac:dyDescent="0.2">
      <c r="A122" s="81"/>
      <c r="B122" s="100" t="s">
        <v>139</v>
      </c>
      <c r="C122" s="101" t="s">
        <v>19</v>
      </c>
      <c r="D122" s="101" t="s">
        <v>10</v>
      </c>
      <c r="E122" s="101" t="s">
        <v>8</v>
      </c>
      <c r="F122" s="102">
        <v>200</v>
      </c>
      <c r="G122" s="102"/>
      <c r="H122" s="102">
        <f>SUM(F122:G122)</f>
        <v>200</v>
      </c>
      <c r="I122" s="102"/>
      <c r="J122" s="102"/>
      <c r="K122" s="102">
        <f>SUM(H122,J122)</f>
        <v>200</v>
      </c>
      <c r="L122" s="103"/>
      <c r="M122" s="102"/>
      <c r="N122" s="102">
        <f>SUM(K122,M122)</f>
        <v>200</v>
      </c>
      <c r="O122" s="103"/>
      <c r="P122" s="102"/>
      <c r="Q122" s="102">
        <f>SUM(N122,P122)</f>
        <v>200</v>
      </c>
      <c r="R122" s="82"/>
      <c r="S122" s="102"/>
      <c r="T122" s="145">
        <f>SUM(Q122,S122)</f>
        <v>200</v>
      </c>
      <c r="U122" s="148"/>
    </row>
    <row r="123" spans="1:22" s="77" customFormat="1" ht="31.5" customHeight="1" collapsed="1" x14ac:dyDescent="0.2">
      <c r="A123" s="75"/>
      <c r="B123" s="92" t="s">
        <v>140</v>
      </c>
      <c r="C123" s="93" t="s">
        <v>18</v>
      </c>
      <c r="D123" s="93" t="s">
        <v>3</v>
      </c>
      <c r="E123" s="93" t="s">
        <v>3</v>
      </c>
      <c r="F123" s="94">
        <f>SUM(F124,F132,F135,F139)</f>
        <v>2292318.2000000002</v>
      </c>
      <c r="G123" s="94">
        <f>SUM(G124,G132,G135,G139)</f>
        <v>447.2</v>
      </c>
      <c r="H123" s="94">
        <f>SUM(H124,H132,H135,H139)</f>
        <v>2292765.4</v>
      </c>
      <c r="I123" s="94"/>
      <c r="J123" s="94">
        <f>SUM(J124,J132,J135,J139)</f>
        <v>41194.199999999997</v>
      </c>
      <c r="K123" s="94">
        <f>SUM(K124,K132,K135,K139)</f>
        <v>2333959.6</v>
      </c>
      <c r="L123" s="95"/>
      <c r="M123" s="94">
        <f>SUM(M124,M132,M135,M139)</f>
        <v>1122.3999999999999</v>
      </c>
      <c r="N123" s="94">
        <f>SUM(N124,N132,N135,N139)</f>
        <v>2335082</v>
      </c>
      <c r="O123" s="95"/>
      <c r="P123" s="94">
        <f>SUM(P124,P132,P135,P139)</f>
        <v>39544.800000000003</v>
      </c>
      <c r="Q123" s="94">
        <f>SUM(Q124,Q132,Q135,Q139)</f>
        <v>2374626.7999999998</v>
      </c>
      <c r="R123" s="76"/>
      <c r="S123" s="94">
        <f>SUM(S124,S132,S135,S139)</f>
        <v>-29283.600000000002</v>
      </c>
      <c r="T123" s="127">
        <f>SUM(T124,T132,T135,T139)</f>
        <v>2345343.2000000002</v>
      </c>
      <c r="U123" s="150"/>
    </row>
    <row r="124" spans="1:22" s="80" customFormat="1" ht="341.25" customHeight="1" x14ac:dyDescent="0.2">
      <c r="A124" s="78"/>
      <c r="B124" s="155" t="s">
        <v>141</v>
      </c>
      <c r="C124" s="156" t="s">
        <v>18</v>
      </c>
      <c r="D124" s="156" t="s">
        <v>12</v>
      </c>
      <c r="E124" s="156" t="s">
        <v>3</v>
      </c>
      <c r="F124" s="98">
        <f>SUM(F125:F131)</f>
        <v>2157822.1</v>
      </c>
      <c r="G124" s="98">
        <f t="shared" ref="G124:H124" si="196">SUM(G125:G131)</f>
        <v>447.2</v>
      </c>
      <c r="H124" s="98">
        <f t="shared" si="196"/>
        <v>2158269.2999999998</v>
      </c>
      <c r="I124" s="112" t="s">
        <v>188</v>
      </c>
      <c r="J124" s="98">
        <f t="shared" ref="J124:K124" si="197">SUM(J125:J131)</f>
        <v>23263.599999999999</v>
      </c>
      <c r="K124" s="98">
        <f t="shared" si="197"/>
        <v>2181532.9</v>
      </c>
      <c r="L124" s="112" t="s">
        <v>209</v>
      </c>
      <c r="M124" s="98">
        <f t="shared" ref="M124:N124" si="198">SUM(M125:M131)</f>
        <v>132.69999999999982</v>
      </c>
      <c r="N124" s="98">
        <f t="shared" si="198"/>
        <v>2181665.6</v>
      </c>
      <c r="O124" s="112" t="s">
        <v>315</v>
      </c>
      <c r="P124" s="98">
        <f>SUM(P125:P131)</f>
        <v>3712.8</v>
      </c>
      <c r="Q124" s="157">
        <f t="shared" ref="Q124" si="199">SUM(Q125:Q131)</f>
        <v>2185378.4</v>
      </c>
      <c r="R124" s="137" t="s">
        <v>418</v>
      </c>
      <c r="S124" s="157">
        <f>SUM(S125:S131)</f>
        <v>-29093.7</v>
      </c>
      <c r="T124" s="157">
        <f t="shared" ref="T124" si="200">SUM(T125:T131)</f>
        <v>2156284.7000000002</v>
      </c>
      <c r="U124" s="158" t="s">
        <v>481</v>
      </c>
    </row>
    <row r="125" spans="1:22" ht="46.5" hidden="1" customHeight="1" outlineLevel="1" x14ac:dyDescent="0.2">
      <c r="A125" s="81"/>
      <c r="B125" s="100" t="s">
        <v>142</v>
      </c>
      <c r="C125" s="101" t="s">
        <v>18</v>
      </c>
      <c r="D125" s="101" t="s">
        <v>12</v>
      </c>
      <c r="E125" s="101" t="s">
        <v>8</v>
      </c>
      <c r="F125" s="102">
        <v>32139.200000000001</v>
      </c>
      <c r="G125" s="102"/>
      <c r="H125" s="102">
        <f>SUM(F125:G125)</f>
        <v>32139.200000000001</v>
      </c>
      <c r="I125" s="102"/>
      <c r="J125" s="102"/>
      <c r="K125" s="102">
        <f t="shared" ref="K125:K131" si="201">SUM(H125,J125)</f>
        <v>32139.200000000001</v>
      </c>
      <c r="L125" s="103"/>
      <c r="M125" s="102">
        <v>6.3</v>
      </c>
      <c r="N125" s="102">
        <f t="shared" ref="N125:N131" si="202">SUM(K125,M125)</f>
        <v>32145.5</v>
      </c>
      <c r="O125" s="113" t="s">
        <v>270</v>
      </c>
      <c r="P125" s="102">
        <v>275.2</v>
      </c>
      <c r="Q125" s="102">
        <f t="shared" ref="Q125:Q131" si="203">SUM(N125,P125)</f>
        <v>32420.7</v>
      </c>
      <c r="R125" s="136" t="s">
        <v>351</v>
      </c>
      <c r="S125" s="102">
        <v>-304.2</v>
      </c>
      <c r="T125" s="145">
        <f t="shared" ref="T125:T131" si="204">SUM(Q125,S125)</f>
        <v>32116.5</v>
      </c>
      <c r="U125" s="148" t="s">
        <v>427</v>
      </c>
      <c r="V125" s="62" t="s">
        <v>460</v>
      </c>
    </row>
    <row r="126" spans="1:22" ht="163.5" hidden="1" customHeight="1" outlineLevel="1" x14ac:dyDescent="0.2">
      <c r="A126" s="81"/>
      <c r="B126" s="100" t="s">
        <v>143</v>
      </c>
      <c r="C126" s="101" t="s">
        <v>18</v>
      </c>
      <c r="D126" s="101" t="s">
        <v>12</v>
      </c>
      <c r="E126" s="101" t="s">
        <v>7</v>
      </c>
      <c r="F126" s="102">
        <v>1964776</v>
      </c>
      <c r="G126" s="102">
        <f>447.2</f>
        <v>447.2</v>
      </c>
      <c r="H126" s="102">
        <f t="shared" ref="H126:H131" si="205">SUM(F126:G126)</f>
        <v>1965223.2</v>
      </c>
      <c r="I126" s="103" t="s">
        <v>188</v>
      </c>
      <c r="J126" s="102">
        <v>23263.599999999999</v>
      </c>
      <c r="K126" s="102">
        <f t="shared" si="201"/>
        <v>1988486.8</v>
      </c>
      <c r="L126" s="103" t="s">
        <v>209</v>
      </c>
      <c r="M126" s="102">
        <f>204-3599-77.6+350+3896.2</f>
        <v>773.59999999999991</v>
      </c>
      <c r="N126" s="102">
        <f t="shared" si="202"/>
        <v>1989260.4000000001</v>
      </c>
      <c r="O126" s="103" t="s">
        <v>314</v>
      </c>
      <c r="P126" s="102">
        <f>5119.1+2475.2+1601.5+1000-133.4+248.8</f>
        <v>10311.199999999999</v>
      </c>
      <c r="Q126" s="102">
        <f t="shared" si="203"/>
        <v>1999571.6</v>
      </c>
      <c r="R126" s="138" t="s">
        <v>399</v>
      </c>
      <c r="S126" s="102">
        <f>-18325.1-61.2-2138.2</f>
        <v>-20524.5</v>
      </c>
      <c r="T126" s="145">
        <f t="shared" si="204"/>
        <v>1979047.1</v>
      </c>
      <c r="U126" s="148" t="s">
        <v>461</v>
      </c>
    </row>
    <row r="127" spans="1:22" ht="58.5" hidden="1" customHeight="1" outlineLevel="1" x14ac:dyDescent="0.2">
      <c r="A127" s="81"/>
      <c r="B127" s="100" t="s">
        <v>144</v>
      </c>
      <c r="C127" s="101" t="s">
        <v>18</v>
      </c>
      <c r="D127" s="101" t="s">
        <v>12</v>
      </c>
      <c r="E127" s="101" t="s">
        <v>13</v>
      </c>
      <c r="F127" s="102">
        <v>38949</v>
      </c>
      <c r="G127" s="102"/>
      <c r="H127" s="102">
        <f t="shared" si="205"/>
        <v>38949</v>
      </c>
      <c r="I127" s="102"/>
      <c r="J127" s="102"/>
      <c r="K127" s="102">
        <f t="shared" si="201"/>
        <v>38949</v>
      </c>
      <c r="L127" s="103"/>
      <c r="M127" s="102"/>
      <c r="N127" s="102">
        <f t="shared" si="202"/>
        <v>38949</v>
      </c>
      <c r="O127" s="103"/>
      <c r="P127" s="102">
        <v>-685.3</v>
      </c>
      <c r="Q127" s="102">
        <f t="shared" si="203"/>
        <v>38263.699999999997</v>
      </c>
      <c r="R127" s="82" t="s">
        <v>341</v>
      </c>
      <c r="S127" s="102">
        <f>-2508.5</f>
        <v>-2508.5</v>
      </c>
      <c r="T127" s="145">
        <f t="shared" si="204"/>
        <v>35755.199999999997</v>
      </c>
      <c r="U127" s="148" t="s">
        <v>457</v>
      </c>
      <c r="V127" s="62" t="s">
        <v>460</v>
      </c>
    </row>
    <row r="128" spans="1:22" ht="139.5" hidden="1" customHeight="1" outlineLevel="1" x14ac:dyDescent="0.2">
      <c r="A128" s="81"/>
      <c r="B128" s="100" t="s">
        <v>145</v>
      </c>
      <c r="C128" s="101" t="s">
        <v>18</v>
      </c>
      <c r="D128" s="101" t="s">
        <v>12</v>
      </c>
      <c r="E128" s="101" t="s">
        <v>6</v>
      </c>
      <c r="F128" s="102">
        <v>9109.2000000000007</v>
      </c>
      <c r="G128" s="102"/>
      <c r="H128" s="102">
        <f t="shared" si="205"/>
        <v>9109.2000000000007</v>
      </c>
      <c r="I128" s="102"/>
      <c r="J128" s="102"/>
      <c r="K128" s="102">
        <f t="shared" si="201"/>
        <v>9109.2000000000007</v>
      </c>
      <c r="L128" s="103"/>
      <c r="M128" s="102">
        <v>3599</v>
      </c>
      <c r="N128" s="102">
        <f t="shared" si="202"/>
        <v>12708.2</v>
      </c>
      <c r="O128" s="103"/>
      <c r="P128" s="102">
        <v>224</v>
      </c>
      <c r="Q128" s="102">
        <f t="shared" si="203"/>
        <v>12932.2</v>
      </c>
      <c r="R128" s="82" t="s">
        <v>340</v>
      </c>
      <c r="S128" s="102">
        <f>-800-599.8</f>
        <v>-1399.8</v>
      </c>
      <c r="T128" s="145">
        <f t="shared" si="204"/>
        <v>11532.400000000001</v>
      </c>
      <c r="U128" s="148" t="s">
        <v>458</v>
      </c>
      <c r="V128" s="62" t="s">
        <v>460</v>
      </c>
    </row>
    <row r="129" spans="1:22" ht="38.25" hidden="1" customHeight="1" outlineLevel="1" x14ac:dyDescent="0.2">
      <c r="A129" s="81"/>
      <c r="B129" s="100" t="s">
        <v>146</v>
      </c>
      <c r="C129" s="101" t="s">
        <v>18</v>
      </c>
      <c r="D129" s="101" t="s">
        <v>12</v>
      </c>
      <c r="E129" s="101" t="s">
        <v>5</v>
      </c>
      <c r="F129" s="102">
        <v>3900</v>
      </c>
      <c r="G129" s="102"/>
      <c r="H129" s="102">
        <f t="shared" si="205"/>
        <v>3900</v>
      </c>
      <c r="I129" s="102"/>
      <c r="J129" s="102"/>
      <c r="K129" s="102">
        <f t="shared" si="201"/>
        <v>3900</v>
      </c>
      <c r="L129" s="103"/>
      <c r="M129" s="102">
        <v>550</v>
      </c>
      <c r="N129" s="102">
        <f t="shared" si="202"/>
        <v>4450</v>
      </c>
      <c r="O129" s="103"/>
      <c r="P129" s="102">
        <v>638.1</v>
      </c>
      <c r="Q129" s="102">
        <f t="shared" si="203"/>
        <v>5088.1000000000004</v>
      </c>
      <c r="R129" s="139" t="s">
        <v>353</v>
      </c>
      <c r="S129" s="102">
        <f>408.7</f>
        <v>408.7</v>
      </c>
      <c r="T129" s="145">
        <f t="shared" si="204"/>
        <v>5496.8</v>
      </c>
      <c r="U129" s="148" t="s">
        <v>480</v>
      </c>
      <c r="V129" s="62" t="s">
        <v>460</v>
      </c>
    </row>
    <row r="130" spans="1:22" ht="21.75" hidden="1" customHeight="1" outlineLevel="1" x14ac:dyDescent="0.2">
      <c r="A130" s="81"/>
      <c r="B130" s="100" t="s">
        <v>147</v>
      </c>
      <c r="C130" s="101" t="s">
        <v>18</v>
      </c>
      <c r="D130" s="101" t="s">
        <v>12</v>
      </c>
      <c r="E130" s="101" t="s">
        <v>4</v>
      </c>
      <c r="F130" s="102">
        <v>9115.7999999999993</v>
      </c>
      <c r="G130" s="102"/>
      <c r="H130" s="102">
        <f t="shared" si="205"/>
        <v>9115.7999999999993</v>
      </c>
      <c r="I130" s="102"/>
      <c r="J130" s="102"/>
      <c r="K130" s="102">
        <f t="shared" si="201"/>
        <v>9115.7999999999993</v>
      </c>
      <c r="L130" s="103"/>
      <c r="M130" s="102"/>
      <c r="N130" s="102">
        <f t="shared" si="202"/>
        <v>9115.7999999999993</v>
      </c>
      <c r="O130" s="103"/>
      <c r="P130" s="102"/>
      <c r="Q130" s="102">
        <f t="shared" si="203"/>
        <v>9115.7999999999993</v>
      </c>
      <c r="R130" s="82"/>
      <c r="S130" s="102"/>
      <c r="T130" s="145">
        <f t="shared" si="204"/>
        <v>9115.7999999999993</v>
      </c>
      <c r="U130" s="148"/>
    </row>
    <row r="131" spans="1:22" ht="123" hidden="1" customHeight="1" outlineLevel="1" x14ac:dyDescent="0.2">
      <c r="A131" s="81"/>
      <c r="B131" s="100" t="s">
        <v>148</v>
      </c>
      <c r="C131" s="101" t="s">
        <v>18</v>
      </c>
      <c r="D131" s="101" t="s">
        <v>12</v>
      </c>
      <c r="E131" s="101" t="s">
        <v>0</v>
      </c>
      <c r="F131" s="102">
        <v>99832.9</v>
      </c>
      <c r="G131" s="102"/>
      <c r="H131" s="102">
        <f t="shared" si="205"/>
        <v>99832.9</v>
      </c>
      <c r="I131" s="102"/>
      <c r="J131" s="102"/>
      <c r="K131" s="102">
        <f t="shared" si="201"/>
        <v>99832.9</v>
      </c>
      <c r="L131" s="103"/>
      <c r="M131" s="102">
        <f>-900-3896.2</f>
        <v>-4796.2</v>
      </c>
      <c r="N131" s="102">
        <f t="shared" si="202"/>
        <v>95036.7</v>
      </c>
      <c r="O131" s="103"/>
      <c r="P131" s="102">
        <f>-1000-2475.2-3326.4-248.8</f>
        <v>-7050.4000000000005</v>
      </c>
      <c r="Q131" s="102">
        <f t="shared" si="203"/>
        <v>87986.3</v>
      </c>
      <c r="R131" s="82" t="s">
        <v>400</v>
      </c>
      <c r="S131" s="102">
        <f>-4011.3-5.5-748.6</f>
        <v>-4765.4000000000005</v>
      </c>
      <c r="T131" s="145">
        <f t="shared" si="204"/>
        <v>83220.900000000009</v>
      </c>
      <c r="U131" s="148" t="s">
        <v>459</v>
      </c>
      <c r="V131" s="62" t="s">
        <v>460</v>
      </c>
    </row>
    <row r="132" spans="1:22" s="80" customFormat="1" ht="66.75" customHeight="1" collapsed="1" x14ac:dyDescent="0.2">
      <c r="A132" s="78"/>
      <c r="B132" s="96" t="s">
        <v>149</v>
      </c>
      <c r="C132" s="97" t="s">
        <v>18</v>
      </c>
      <c r="D132" s="97" t="s">
        <v>10</v>
      </c>
      <c r="E132" s="97" t="s">
        <v>3</v>
      </c>
      <c r="F132" s="98">
        <f t="shared" ref="F132:P132" si="206">SUM(F133:F134)</f>
        <v>15800</v>
      </c>
      <c r="G132" s="98">
        <f t="shared" si="206"/>
        <v>0</v>
      </c>
      <c r="H132" s="98">
        <f t="shared" si="206"/>
        <v>15800</v>
      </c>
      <c r="I132" s="98">
        <f t="shared" si="206"/>
        <v>0</v>
      </c>
      <c r="J132" s="98">
        <f t="shared" si="206"/>
        <v>430.6</v>
      </c>
      <c r="K132" s="98">
        <f t="shared" si="206"/>
        <v>16230.6</v>
      </c>
      <c r="L132" s="98">
        <f t="shared" si="206"/>
        <v>0</v>
      </c>
      <c r="M132" s="98">
        <f t="shared" si="206"/>
        <v>589.70000000000005</v>
      </c>
      <c r="N132" s="98">
        <f t="shared" si="206"/>
        <v>16820.3</v>
      </c>
      <c r="O132" s="98">
        <f t="shared" si="206"/>
        <v>0</v>
      </c>
      <c r="P132" s="98">
        <f t="shared" si="206"/>
        <v>29981.599999999999</v>
      </c>
      <c r="Q132" s="98">
        <f>SUM(Q133:Q134)</f>
        <v>46801.899999999994</v>
      </c>
      <c r="R132" s="79" t="s">
        <v>420</v>
      </c>
      <c r="S132" s="98">
        <f t="shared" ref="S132" si="207">SUM(S133:S134)</f>
        <v>1124.6000000000001</v>
      </c>
      <c r="T132" s="144">
        <f>SUM(T133:T134)</f>
        <v>47926.5</v>
      </c>
      <c r="U132" s="151" t="s">
        <v>475</v>
      </c>
    </row>
    <row r="133" spans="1:22" ht="67.5" hidden="1" customHeight="1" outlineLevel="1" x14ac:dyDescent="0.2">
      <c r="A133" s="81"/>
      <c r="B133" s="100" t="s">
        <v>259</v>
      </c>
      <c r="C133" s="101" t="s">
        <v>18</v>
      </c>
      <c r="D133" s="101" t="s">
        <v>10</v>
      </c>
      <c r="E133" s="101" t="s">
        <v>8</v>
      </c>
      <c r="F133" s="102">
        <v>15800</v>
      </c>
      <c r="G133" s="102"/>
      <c r="H133" s="102">
        <f>SUM(F133:G133)</f>
        <v>15800</v>
      </c>
      <c r="I133" s="102"/>
      <c r="J133" s="102">
        <v>430.6</v>
      </c>
      <c r="K133" s="102">
        <f>SUM(H133,J133)</f>
        <v>16230.6</v>
      </c>
      <c r="L133" s="103" t="s">
        <v>206</v>
      </c>
      <c r="M133" s="102">
        <f>512.1+14.2+63.4</f>
        <v>589.70000000000005</v>
      </c>
      <c r="N133" s="102">
        <f>SUM(K133,M133)</f>
        <v>16820.3</v>
      </c>
      <c r="O133" s="103" t="s">
        <v>299</v>
      </c>
      <c r="P133" s="102">
        <f>910.6+70</f>
        <v>980.6</v>
      </c>
      <c r="Q133" s="102">
        <f>SUM(N133,P133)</f>
        <v>17800.899999999998</v>
      </c>
      <c r="R133" s="82" t="s">
        <v>354</v>
      </c>
      <c r="S133" s="102">
        <f>244.5+473.9+93.6+364.9-52.3</f>
        <v>1124.6000000000001</v>
      </c>
      <c r="T133" s="145">
        <f>SUM(Q133,S133)</f>
        <v>18925.499999999996</v>
      </c>
      <c r="U133" s="148" t="s">
        <v>462</v>
      </c>
      <c r="V133" s="62" t="s">
        <v>460</v>
      </c>
    </row>
    <row r="134" spans="1:22" ht="150.75" hidden="1" customHeight="1" outlineLevel="1" x14ac:dyDescent="0.2">
      <c r="A134" s="81"/>
      <c r="B134" s="100" t="s">
        <v>259</v>
      </c>
      <c r="C134" s="101">
        <v>20</v>
      </c>
      <c r="D134" s="101">
        <v>2</v>
      </c>
      <c r="E134" s="101">
        <v>4</v>
      </c>
      <c r="F134" s="102"/>
      <c r="G134" s="102"/>
      <c r="H134" s="102"/>
      <c r="I134" s="102"/>
      <c r="J134" s="102"/>
      <c r="K134" s="102"/>
      <c r="L134" s="103"/>
      <c r="M134" s="102"/>
      <c r="N134" s="102"/>
      <c r="O134" s="103"/>
      <c r="P134" s="102">
        <f>26100.9+2900.1</f>
        <v>29001</v>
      </c>
      <c r="Q134" s="102">
        <f>SUM(N134,P134)</f>
        <v>29001</v>
      </c>
      <c r="R134" s="82" t="s">
        <v>401</v>
      </c>
      <c r="S134" s="102"/>
      <c r="T134" s="145">
        <f>SUM(Q134,S134)</f>
        <v>29001</v>
      </c>
      <c r="U134" s="148"/>
      <c r="V134" s="62" t="s">
        <v>460</v>
      </c>
    </row>
    <row r="135" spans="1:22" s="80" customFormat="1" ht="42" customHeight="1" collapsed="1" x14ac:dyDescent="0.2">
      <c r="A135" s="78"/>
      <c r="B135" s="96" t="s">
        <v>150</v>
      </c>
      <c r="C135" s="97" t="s">
        <v>18</v>
      </c>
      <c r="D135" s="97" t="s">
        <v>14</v>
      </c>
      <c r="E135" s="97" t="s">
        <v>3</v>
      </c>
      <c r="F135" s="98">
        <f>SUM(F136:F138)</f>
        <v>93446.9</v>
      </c>
      <c r="G135" s="98">
        <f t="shared" ref="G135:H135" si="208">SUM(G136:G138)</f>
        <v>0</v>
      </c>
      <c r="H135" s="98">
        <f t="shared" si="208"/>
        <v>93446.9</v>
      </c>
      <c r="I135" s="98"/>
      <c r="J135" s="98">
        <f t="shared" ref="J135:K135" si="209">SUM(J136:J138)</f>
        <v>17500</v>
      </c>
      <c r="K135" s="98">
        <f t="shared" si="209"/>
        <v>110946.9</v>
      </c>
      <c r="L135" s="99" t="s">
        <v>208</v>
      </c>
      <c r="M135" s="98">
        <f t="shared" ref="M135:N135" si="210">SUM(M136:M138)</f>
        <v>400</v>
      </c>
      <c r="N135" s="98">
        <f t="shared" si="210"/>
        <v>111346.9</v>
      </c>
      <c r="O135" s="99" t="s">
        <v>306</v>
      </c>
      <c r="P135" s="98">
        <f t="shared" ref="P135:Q135" si="211">SUM(P136:P138)</f>
        <v>5850.4</v>
      </c>
      <c r="Q135" s="98">
        <f t="shared" si="211"/>
        <v>117197.29999999999</v>
      </c>
      <c r="R135" s="79" t="s">
        <v>419</v>
      </c>
      <c r="S135" s="98">
        <f t="shared" ref="S135:T135" si="212">SUM(S136:S138)</f>
        <v>185.5</v>
      </c>
      <c r="T135" s="144">
        <f t="shared" si="212"/>
        <v>117382.79999999999</v>
      </c>
      <c r="U135" s="151" t="s">
        <v>451</v>
      </c>
    </row>
    <row r="136" spans="1:22" ht="45.75" hidden="1" customHeight="1" outlineLevel="1" x14ac:dyDescent="0.2">
      <c r="A136" s="81"/>
      <c r="B136" s="100" t="s">
        <v>151</v>
      </c>
      <c r="C136" s="101" t="s">
        <v>18</v>
      </c>
      <c r="D136" s="101" t="s">
        <v>14</v>
      </c>
      <c r="E136" s="101" t="s">
        <v>8</v>
      </c>
      <c r="F136" s="102">
        <v>29498.2</v>
      </c>
      <c r="G136" s="102"/>
      <c r="H136" s="102">
        <f>SUM(F136:G136)</f>
        <v>29498.2</v>
      </c>
      <c r="I136" s="102"/>
      <c r="J136" s="102">
        <f>17500</f>
        <v>17500</v>
      </c>
      <c r="K136" s="102">
        <f t="shared" ref="K136:K138" si="213">SUM(H136,J136)</f>
        <v>46998.2</v>
      </c>
      <c r="L136" s="103" t="s">
        <v>208</v>
      </c>
      <c r="M136" s="102"/>
      <c r="N136" s="102">
        <f t="shared" ref="N136:N138" si="214">SUM(K136,M136)</f>
        <v>46998.2</v>
      </c>
      <c r="O136" s="103"/>
      <c r="P136" s="102">
        <f>5134</f>
        <v>5134</v>
      </c>
      <c r="Q136" s="102">
        <f t="shared" ref="Q136:Q138" si="215">SUM(N136,P136)</f>
        <v>52132.2</v>
      </c>
      <c r="R136" s="130" t="s">
        <v>337</v>
      </c>
      <c r="S136" s="102"/>
      <c r="T136" s="145">
        <f t="shared" ref="T136:T138" si="216">SUM(Q136,S136)</f>
        <v>52132.2</v>
      </c>
      <c r="U136" s="148"/>
    </row>
    <row r="137" spans="1:22" ht="57.75" hidden="1" customHeight="1" outlineLevel="1" x14ac:dyDescent="0.2">
      <c r="A137" s="81"/>
      <c r="B137" s="100" t="s">
        <v>152</v>
      </c>
      <c r="C137" s="101" t="s">
        <v>18</v>
      </c>
      <c r="D137" s="101" t="s">
        <v>14</v>
      </c>
      <c r="E137" s="101" t="s">
        <v>7</v>
      </c>
      <c r="F137" s="102">
        <v>56268.7</v>
      </c>
      <c r="G137" s="102"/>
      <c r="H137" s="102">
        <f t="shared" ref="H137:H138" si="217">SUM(F137:G137)</f>
        <v>56268.7</v>
      </c>
      <c r="I137" s="102"/>
      <c r="J137" s="102"/>
      <c r="K137" s="102">
        <f t="shared" si="213"/>
        <v>56268.7</v>
      </c>
      <c r="L137" s="103"/>
      <c r="M137" s="102">
        <f>400</f>
        <v>400</v>
      </c>
      <c r="N137" s="102">
        <f t="shared" si="214"/>
        <v>56668.7</v>
      </c>
      <c r="O137" s="103" t="s">
        <v>265</v>
      </c>
      <c r="P137" s="102">
        <f>-249+752+63.4</f>
        <v>566.4</v>
      </c>
      <c r="Q137" s="102">
        <f t="shared" si="215"/>
        <v>57235.1</v>
      </c>
      <c r="R137" s="82" t="s">
        <v>377</v>
      </c>
      <c r="S137" s="102">
        <f>-100</f>
        <v>-100</v>
      </c>
      <c r="T137" s="145">
        <f t="shared" si="216"/>
        <v>57135.1</v>
      </c>
      <c r="U137" s="148" t="s">
        <v>429</v>
      </c>
    </row>
    <row r="138" spans="1:22" ht="48" hidden="1" customHeight="1" outlineLevel="1" x14ac:dyDescent="0.2">
      <c r="A138" s="81"/>
      <c r="B138" s="100" t="s">
        <v>153</v>
      </c>
      <c r="C138" s="101" t="s">
        <v>18</v>
      </c>
      <c r="D138" s="101" t="s">
        <v>14</v>
      </c>
      <c r="E138" s="101" t="s">
        <v>13</v>
      </c>
      <c r="F138" s="102">
        <v>7680</v>
      </c>
      <c r="G138" s="102"/>
      <c r="H138" s="102">
        <f t="shared" si="217"/>
        <v>7680</v>
      </c>
      <c r="I138" s="102"/>
      <c r="J138" s="102"/>
      <c r="K138" s="102">
        <f t="shared" si="213"/>
        <v>7680</v>
      </c>
      <c r="L138" s="103"/>
      <c r="M138" s="102"/>
      <c r="N138" s="102">
        <f t="shared" si="214"/>
        <v>7680</v>
      </c>
      <c r="O138" s="103"/>
      <c r="P138" s="102">
        <f>150</f>
        <v>150</v>
      </c>
      <c r="Q138" s="102">
        <f t="shared" si="215"/>
        <v>7830</v>
      </c>
      <c r="R138" s="82" t="s">
        <v>352</v>
      </c>
      <c r="S138" s="102">
        <f>285.5</f>
        <v>285.5</v>
      </c>
      <c r="T138" s="145">
        <f t="shared" si="216"/>
        <v>8115.5</v>
      </c>
      <c r="U138" s="148" t="s">
        <v>430</v>
      </c>
    </row>
    <row r="139" spans="1:22" s="80" customFormat="1" ht="68.25" customHeight="1" collapsed="1" thickBot="1" x14ac:dyDescent="0.25">
      <c r="A139" s="78"/>
      <c r="B139" s="96" t="s">
        <v>154</v>
      </c>
      <c r="C139" s="97" t="s">
        <v>18</v>
      </c>
      <c r="D139" s="97" t="s">
        <v>17</v>
      </c>
      <c r="E139" s="97" t="s">
        <v>3</v>
      </c>
      <c r="F139" s="98">
        <f>SUM(F140)</f>
        <v>25249.200000000001</v>
      </c>
      <c r="G139" s="98">
        <f t="shared" ref="G139:T139" si="218">SUM(G140)</f>
        <v>0</v>
      </c>
      <c r="H139" s="98">
        <f t="shared" si="218"/>
        <v>25249.200000000001</v>
      </c>
      <c r="I139" s="98"/>
      <c r="J139" s="98">
        <f t="shared" si="218"/>
        <v>0</v>
      </c>
      <c r="K139" s="98">
        <f t="shared" si="218"/>
        <v>25249.200000000001</v>
      </c>
      <c r="L139" s="99"/>
      <c r="M139" s="98">
        <f t="shared" si="218"/>
        <v>0</v>
      </c>
      <c r="N139" s="98">
        <f t="shared" si="218"/>
        <v>25249.200000000001</v>
      </c>
      <c r="O139" s="99"/>
      <c r="P139" s="98">
        <f t="shared" si="218"/>
        <v>0</v>
      </c>
      <c r="Q139" s="98">
        <f t="shared" si="218"/>
        <v>25249.200000000001</v>
      </c>
      <c r="R139" s="79"/>
      <c r="S139" s="98">
        <f t="shared" si="218"/>
        <v>-1500</v>
      </c>
      <c r="T139" s="144">
        <f t="shared" si="218"/>
        <v>23749.200000000001</v>
      </c>
      <c r="U139" s="151" t="s">
        <v>463</v>
      </c>
    </row>
    <row r="140" spans="1:22" ht="49.5" hidden="1" customHeight="1" outlineLevel="1" thickBot="1" x14ac:dyDescent="0.25">
      <c r="A140" s="81"/>
      <c r="B140" s="100" t="s">
        <v>155</v>
      </c>
      <c r="C140" s="101" t="s">
        <v>18</v>
      </c>
      <c r="D140" s="101" t="s">
        <v>17</v>
      </c>
      <c r="E140" s="101" t="s">
        <v>8</v>
      </c>
      <c r="F140" s="102">
        <v>25249.200000000001</v>
      </c>
      <c r="G140" s="102"/>
      <c r="H140" s="102">
        <f>SUM(F140:G140)</f>
        <v>25249.200000000001</v>
      </c>
      <c r="I140" s="102"/>
      <c r="J140" s="102"/>
      <c r="K140" s="102">
        <f>SUM(H140,J140)</f>
        <v>25249.200000000001</v>
      </c>
      <c r="L140" s="103"/>
      <c r="M140" s="102"/>
      <c r="N140" s="102">
        <f>SUM(K140,M140)</f>
        <v>25249.200000000001</v>
      </c>
      <c r="O140" s="103"/>
      <c r="P140" s="102"/>
      <c r="Q140" s="102">
        <f>SUM(N140,P140)</f>
        <v>25249.200000000001</v>
      </c>
      <c r="R140" s="128"/>
      <c r="S140" s="102">
        <f>-1500</f>
        <v>-1500</v>
      </c>
      <c r="T140" s="145">
        <f>SUM(Q140,S140)</f>
        <v>23749.200000000001</v>
      </c>
      <c r="U140" s="148" t="s">
        <v>463</v>
      </c>
    </row>
    <row r="141" spans="1:22" s="125" customFormat="1" ht="49.5" customHeight="1" collapsed="1" thickBot="1" x14ac:dyDescent="0.25">
      <c r="A141" s="124"/>
      <c r="B141" s="92" t="s">
        <v>156</v>
      </c>
      <c r="C141" s="93" t="s">
        <v>16</v>
      </c>
      <c r="D141" s="93" t="s">
        <v>3</v>
      </c>
      <c r="E141" s="93" t="s">
        <v>3</v>
      </c>
      <c r="F141" s="94">
        <f>SUM(F142)</f>
        <v>1151.0999999999999</v>
      </c>
      <c r="G141" s="94">
        <f t="shared" ref="G141:T141" si="219">SUM(G142)</f>
        <v>0</v>
      </c>
      <c r="H141" s="94">
        <f t="shared" si="219"/>
        <v>1151.0999999999999</v>
      </c>
      <c r="I141" s="94"/>
      <c r="J141" s="94">
        <f t="shared" si="219"/>
        <v>11.7</v>
      </c>
      <c r="K141" s="94">
        <f t="shared" si="219"/>
        <v>1162.8</v>
      </c>
      <c r="L141" s="104" t="s">
        <v>233</v>
      </c>
      <c r="M141" s="94">
        <f t="shared" si="219"/>
        <v>21000</v>
      </c>
      <c r="N141" s="94">
        <f t="shared" si="219"/>
        <v>22162.799999999999</v>
      </c>
      <c r="O141" s="126" t="s">
        <v>334</v>
      </c>
      <c r="P141" s="94">
        <f t="shared" si="219"/>
        <v>-5155</v>
      </c>
      <c r="Q141" s="127">
        <f t="shared" si="219"/>
        <v>17007.8</v>
      </c>
      <c r="R141" s="140" t="s">
        <v>417</v>
      </c>
      <c r="S141" s="94">
        <f t="shared" si="219"/>
        <v>0</v>
      </c>
      <c r="T141" s="127">
        <f t="shared" si="219"/>
        <v>17007.8</v>
      </c>
      <c r="U141" s="150"/>
    </row>
    <row r="142" spans="1:22" ht="66" hidden="1" customHeight="1" outlineLevel="1" x14ac:dyDescent="0.2">
      <c r="A142" s="81"/>
      <c r="B142" s="100" t="s">
        <v>157</v>
      </c>
      <c r="C142" s="101" t="s">
        <v>16</v>
      </c>
      <c r="D142" s="101" t="s">
        <v>1</v>
      </c>
      <c r="E142" s="101" t="s">
        <v>8</v>
      </c>
      <c r="F142" s="102">
        <v>1151.0999999999999</v>
      </c>
      <c r="G142" s="102"/>
      <c r="H142" s="102">
        <f>SUM(F142:G142)</f>
        <v>1151.0999999999999</v>
      </c>
      <c r="I142" s="102"/>
      <c r="J142" s="102">
        <f>11.7</f>
        <v>11.7</v>
      </c>
      <c r="K142" s="102">
        <f>SUM(H142,J142)</f>
        <v>1162.8</v>
      </c>
      <c r="L142" s="103" t="s">
        <v>226</v>
      </c>
      <c r="M142" s="102">
        <v>21000</v>
      </c>
      <c r="N142" s="102">
        <f>SUM(K142,M142)</f>
        <v>22162.799999999999</v>
      </c>
      <c r="O142" s="114" t="s">
        <v>334</v>
      </c>
      <c r="P142" s="102">
        <f>9798-14948-5</f>
        <v>-5155</v>
      </c>
      <c r="Q142" s="102">
        <f>SUM(N142,P142)</f>
        <v>17007.8</v>
      </c>
      <c r="R142" s="141" t="s">
        <v>390</v>
      </c>
      <c r="S142" s="102"/>
      <c r="T142" s="145">
        <f>SUM(Q142,S142)</f>
        <v>17007.8</v>
      </c>
      <c r="U142" s="148"/>
    </row>
    <row r="143" spans="1:22" s="77" customFormat="1" ht="27.75" customHeight="1" collapsed="1" x14ac:dyDescent="0.2">
      <c r="A143" s="75"/>
      <c r="B143" s="92" t="s">
        <v>158</v>
      </c>
      <c r="C143" s="93" t="s">
        <v>15</v>
      </c>
      <c r="D143" s="93" t="s">
        <v>3</v>
      </c>
      <c r="E143" s="93" t="s">
        <v>3</v>
      </c>
      <c r="F143" s="94">
        <f>SUM(F144,F148,F150)</f>
        <v>486009.5</v>
      </c>
      <c r="G143" s="94">
        <f t="shared" ref="G143:H143" si="220">SUM(G144,G148,G150)</f>
        <v>367.3</v>
      </c>
      <c r="H143" s="94">
        <f t="shared" si="220"/>
        <v>486376.80000000005</v>
      </c>
      <c r="I143" s="94"/>
      <c r="J143" s="94">
        <f t="shared" ref="J143:K143" si="221">SUM(J144,J148,J150)</f>
        <v>36.699999999999989</v>
      </c>
      <c r="K143" s="94">
        <f t="shared" si="221"/>
        <v>486413.5</v>
      </c>
      <c r="L143" s="95"/>
      <c r="M143" s="94">
        <f t="shared" ref="M143:N143" si="222">SUM(M144,M148,M150)</f>
        <v>-16406.2</v>
      </c>
      <c r="N143" s="94">
        <f t="shared" si="222"/>
        <v>470007.3</v>
      </c>
      <c r="O143" s="95"/>
      <c r="P143" s="94">
        <f t="shared" ref="P143:Q143" si="223">SUM(P144,P148,P150)</f>
        <v>22642.3</v>
      </c>
      <c r="Q143" s="94">
        <f t="shared" si="223"/>
        <v>492649.6</v>
      </c>
      <c r="R143" s="76"/>
      <c r="S143" s="94">
        <f t="shared" ref="S143:T143" si="224">SUM(S144,S148,S150)</f>
        <v>2326.1000000000004</v>
      </c>
      <c r="T143" s="127">
        <f t="shared" si="224"/>
        <v>494975.69999999995</v>
      </c>
      <c r="U143" s="150"/>
    </row>
    <row r="144" spans="1:22" s="80" customFormat="1" ht="125.25" customHeight="1" x14ac:dyDescent="0.2">
      <c r="A144" s="78"/>
      <c r="B144" s="96" t="s">
        <v>159</v>
      </c>
      <c r="C144" s="97" t="s">
        <v>15</v>
      </c>
      <c r="D144" s="97" t="s">
        <v>12</v>
      </c>
      <c r="E144" s="97" t="s">
        <v>3</v>
      </c>
      <c r="F144" s="98">
        <f>SUM(F145:F147)</f>
        <v>229512</v>
      </c>
      <c r="G144" s="98">
        <f t="shared" ref="G144:H144" si="225">SUM(G145:G147)</f>
        <v>367.3</v>
      </c>
      <c r="H144" s="98">
        <f t="shared" si="225"/>
        <v>229879.3</v>
      </c>
      <c r="I144" s="99" t="s">
        <v>180</v>
      </c>
      <c r="J144" s="98">
        <f t="shared" ref="J144:K144" si="226">SUM(J145:J147)</f>
        <v>0</v>
      </c>
      <c r="K144" s="98">
        <f t="shared" si="226"/>
        <v>229879.3</v>
      </c>
      <c r="L144" s="99"/>
      <c r="M144" s="98">
        <f t="shared" ref="M144:N144" si="227">SUM(M145:M147)</f>
        <v>-16406.2</v>
      </c>
      <c r="N144" s="98">
        <f t="shared" si="227"/>
        <v>213473.09999999998</v>
      </c>
      <c r="O144" s="99" t="s">
        <v>333</v>
      </c>
      <c r="P144" s="98">
        <f>SUM(P145:P147)</f>
        <v>10397.299999999999</v>
      </c>
      <c r="Q144" s="98">
        <f t="shared" ref="Q144" si="228">SUM(Q145:Q147)</f>
        <v>223870.39999999997</v>
      </c>
      <c r="R144" s="79" t="s">
        <v>410</v>
      </c>
      <c r="S144" s="98">
        <f>SUM(S145:S147)</f>
        <v>2489</v>
      </c>
      <c r="T144" s="144">
        <f t="shared" ref="T144" si="229">SUM(T145:T147)</f>
        <v>226359.39999999997</v>
      </c>
      <c r="U144" s="151" t="s">
        <v>486</v>
      </c>
    </row>
    <row r="145" spans="1:21" ht="54.75" hidden="1" customHeight="1" outlineLevel="1" x14ac:dyDescent="0.2">
      <c r="A145" s="81"/>
      <c r="B145" s="100" t="s">
        <v>160</v>
      </c>
      <c r="C145" s="101" t="s">
        <v>15</v>
      </c>
      <c r="D145" s="101" t="s">
        <v>12</v>
      </c>
      <c r="E145" s="101" t="s">
        <v>8</v>
      </c>
      <c r="F145" s="102">
        <v>193769.9</v>
      </c>
      <c r="G145" s="102"/>
      <c r="H145" s="102">
        <f>SUM(F145:G145)</f>
        <v>193769.9</v>
      </c>
      <c r="I145" s="102"/>
      <c r="J145" s="102"/>
      <c r="K145" s="102">
        <f t="shared" ref="K145:K147" si="230">SUM(H145,J145)</f>
        <v>193769.9</v>
      </c>
      <c r="L145" s="103"/>
      <c r="M145" s="102">
        <f>-6.2-16400</f>
        <v>-16406.2</v>
      </c>
      <c r="N145" s="102">
        <f t="shared" ref="N145:N147" si="231">SUM(K145,M145)</f>
        <v>177363.69999999998</v>
      </c>
      <c r="O145" s="113" t="s">
        <v>332</v>
      </c>
      <c r="P145" s="102">
        <f>7400+6052+2948-5745+204.7+52.3</f>
        <v>10912</v>
      </c>
      <c r="Q145" s="102">
        <f t="shared" ref="Q145:Q147" si="232">SUM(N145,P145)</f>
        <v>188275.69999999998</v>
      </c>
      <c r="R145" s="136" t="s">
        <v>412</v>
      </c>
      <c r="S145" s="102">
        <f>1862.1+200-26+550</f>
        <v>2586.1</v>
      </c>
      <c r="T145" s="145">
        <f t="shared" ref="T145:T147" si="233">SUM(Q145,S145)</f>
        <v>190861.8</v>
      </c>
      <c r="U145" s="148" t="s">
        <v>485</v>
      </c>
    </row>
    <row r="146" spans="1:21" ht="78.75" hidden="1" customHeight="1" outlineLevel="1" x14ac:dyDescent="0.2">
      <c r="A146" s="81"/>
      <c r="B146" s="100" t="s">
        <v>161</v>
      </c>
      <c r="C146" s="101" t="s">
        <v>15</v>
      </c>
      <c r="D146" s="101" t="s">
        <v>12</v>
      </c>
      <c r="E146" s="101" t="s">
        <v>7</v>
      </c>
      <c r="F146" s="102">
        <v>34242.1</v>
      </c>
      <c r="G146" s="102">
        <f>367.3</f>
        <v>367.3</v>
      </c>
      <c r="H146" s="102">
        <f t="shared" ref="H146:H147" si="234">SUM(F146:G146)</f>
        <v>34609.4</v>
      </c>
      <c r="I146" s="115" t="s">
        <v>180</v>
      </c>
      <c r="J146" s="102"/>
      <c r="K146" s="102">
        <f t="shared" si="230"/>
        <v>34609.4</v>
      </c>
      <c r="L146" s="115"/>
      <c r="M146" s="102"/>
      <c r="N146" s="102">
        <f t="shared" si="231"/>
        <v>34609.4</v>
      </c>
      <c r="O146" s="115"/>
      <c r="P146" s="102"/>
      <c r="Q146" s="102">
        <f t="shared" si="232"/>
        <v>34609.4</v>
      </c>
      <c r="R146" s="85"/>
      <c r="S146" s="102">
        <f>33.2-130.3</f>
        <v>-97.100000000000009</v>
      </c>
      <c r="T146" s="145">
        <f t="shared" si="233"/>
        <v>34512.300000000003</v>
      </c>
      <c r="U146" s="153" t="s">
        <v>424</v>
      </c>
    </row>
    <row r="147" spans="1:21" ht="34.5" hidden="1" customHeight="1" outlineLevel="1" x14ac:dyDescent="0.2">
      <c r="A147" s="81"/>
      <c r="B147" s="100" t="s">
        <v>162</v>
      </c>
      <c r="C147" s="101" t="s">
        <v>15</v>
      </c>
      <c r="D147" s="101" t="s">
        <v>12</v>
      </c>
      <c r="E147" s="101" t="s">
        <v>13</v>
      </c>
      <c r="F147" s="102">
        <v>1500</v>
      </c>
      <c r="G147" s="102"/>
      <c r="H147" s="102">
        <f t="shared" si="234"/>
        <v>1500</v>
      </c>
      <c r="I147" s="102"/>
      <c r="J147" s="102"/>
      <c r="K147" s="102">
        <f t="shared" si="230"/>
        <v>1500</v>
      </c>
      <c r="L147" s="103"/>
      <c r="M147" s="102"/>
      <c r="N147" s="102">
        <f t="shared" si="231"/>
        <v>1500</v>
      </c>
      <c r="O147" s="103"/>
      <c r="P147" s="102">
        <v>-514.70000000000005</v>
      </c>
      <c r="Q147" s="102">
        <f t="shared" si="232"/>
        <v>985.3</v>
      </c>
      <c r="R147" s="82" t="s">
        <v>372</v>
      </c>
      <c r="S147" s="102"/>
      <c r="T147" s="145">
        <f t="shared" si="233"/>
        <v>985.3</v>
      </c>
      <c r="U147" s="148"/>
    </row>
    <row r="148" spans="1:21" s="80" customFormat="1" ht="36.75" customHeight="1" collapsed="1" x14ac:dyDescent="0.2">
      <c r="A148" s="78"/>
      <c r="B148" s="96" t="s">
        <v>163</v>
      </c>
      <c r="C148" s="97" t="s">
        <v>15</v>
      </c>
      <c r="D148" s="97" t="s">
        <v>10</v>
      </c>
      <c r="E148" s="97" t="s">
        <v>3</v>
      </c>
      <c r="F148" s="98">
        <f>SUM(F149)</f>
        <v>43173.9</v>
      </c>
      <c r="G148" s="98">
        <f t="shared" ref="G148:T148" si="235">SUM(G149)</f>
        <v>0</v>
      </c>
      <c r="H148" s="98">
        <f t="shared" si="235"/>
        <v>43173.9</v>
      </c>
      <c r="I148" s="98"/>
      <c r="J148" s="98">
        <f t="shared" si="235"/>
        <v>406.7</v>
      </c>
      <c r="K148" s="98">
        <f t="shared" si="235"/>
        <v>43580.6</v>
      </c>
      <c r="L148" s="99" t="s">
        <v>214</v>
      </c>
      <c r="M148" s="98">
        <f t="shared" si="235"/>
        <v>0</v>
      </c>
      <c r="N148" s="98">
        <f t="shared" si="235"/>
        <v>43580.6</v>
      </c>
      <c r="O148" s="99"/>
      <c r="P148" s="98">
        <f t="shared" si="235"/>
        <v>0</v>
      </c>
      <c r="Q148" s="98">
        <f t="shared" si="235"/>
        <v>43580.6</v>
      </c>
      <c r="R148" s="79"/>
      <c r="S148" s="98">
        <f t="shared" si="235"/>
        <v>125.8</v>
      </c>
      <c r="T148" s="144">
        <f t="shared" si="235"/>
        <v>43706.400000000001</v>
      </c>
      <c r="U148" s="151" t="s">
        <v>489</v>
      </c>
    </row>
    <row r="149" spans="1:21" ht="25.5" hidden="1" outlineLevel="1" x14ac:dyDescent="0.2">
      <c r="A149" s="81"/>
      <c r="B149" s="100" t="s">
        <v>164</v>
      </c>
      <c r="C149" s="101" t="s">
        <v>15</v>
      </c>
      <c r="D149" s="101" t="s">
        <v>10</v>
      </c>
      <c r="E149" s="101" t="s">
        <v>8</v>
      </c>
      <c r="F149" s="102">
        <v>43173.9</v>
      </c>
      <c r="G149" s="102"/>
      <c r="H149" s="102">
        <f>SUM(F149:G149)</f>
        <v>43173.9</v>
      </c>
      <c r="I149" s="102"/>
      <c r="J149" s="102">
        <f>406.7</f>
        <v>406.7</v>
      </c>
      <c r="K149" s="102">
        <f>SUM(H149,J149)</f>
        <v>43580.6</v>
      </c>
      <c r="L149" s="103" t="s">
        <v>214</v>
      </c>
      <c r="M149" s="102"/>
      <c r="N149" s="102">
        <f>SUM(K149,M149)</f>
        <v>43580.6</v>
      </c>
      <c r="O149" s="103"/>
      <c r="P149" s="102"/>
      <c r="Q149" s="102">
        <f>SUM(N149,P149)</f>
        <v>43580.6</v>
      </c>
      <c r="R149" s="82"/>
      <c r="S149" s="102">
        <v>125.8</v>
      </c>
      <c r="T149" s="145">
        <f>SUM(Q149,S149)</f>
        <v>43706.400000000001</v>
      </c>
      <c r="U149" s="148" t="s">
        <v>489</v>
      </c>
    </row>
    <row r="150" spans="1:21" s="80" customFormat="1" ht="102.75" customHeight="1" collapsed="1" x14ac:dyDescent="0.2">
      <c r="A150" s="78"/>
      <c r="B150" s="96" t="s">
        <v>165</v>
      </c>
      <c r="C150" s="97" t="s">
        <v>15</v>
      </c>
      <c r="D150" s="97" t="s">
        <v>14</v>
      </c>
      <c r="E150" s="97" t="s">
        <v>3</v>
      </c>
      <c r="F150" s="98">
        <f>SUM(F151:F153)</f>
        <v>213323.6</v>
      </c>
      <c r="G150" s="98">
        <f t="shared" ref="G150:H150" si="236">SUM(G151:G153)</f>
        <v>0</v>
      </c>
      <c r="H150" s="98">
        <f t="shared" si="236"/>
        <v>213323.6</v>
      </c>
      <c r="I150" s="98"/>
      <c r="J150" s="98">
        <f t="shared" ref="J150:K150" si="237">SUM(J151:J153)</f>
        <v>-370</v>
      </c>
      <c r="K150" s="98">
        <f t="shared" si="237"/>
        <v>212953.60000000001</v>
      </c>
      <c r="L150" s="99" t="s">
        <v>231</v>
      </c>
      <c r="M150" s="98">
        <f t="shared" ref="M150:N150" si="238">SUM(M151:M153)</f>
        <v>0</v>
      </c>
      <c r="N150" s="98">
        <f t="shared" si="238"/>
        <v>212953.60000000001</v>
      </c>
      <c r="O150" s="99" t="s">
        <v>325</v>
      </c>
      <c r="P150" s="98">
        <f t="shared" ref="P150:Q150" si="239">SUM(P151:P153)</f>
        <v>12245</v>
      </c>
      <c r="Q150" s="98">
        <f t="shared" si="239"/>
        <v>225198.6</v>
      </c>
      <c r="R150" s="79" t="s">
        <v>393</v>
      </c>
      <c r="S150" s="98">
        <f t="shared" ref="S150:T150" si="240">SUM(S151:S153)</f>
        <v>-288.69999999999982</v>
      </c>
      <c r="T150" s="144">
        <f t="shared" si="240"/>
        <v>224909.9</v>
      </c>
      <c r="U150" s="151" t="s">
        <v>488</v>
      </c>
    </row>
    <row r="151" spans="1:21" ht="65.25" hidden="1" customHeight="1" outlineLevel="1" x14ac:dyDescent="0.2">
      <c r="A151" s="81"/>
      <c r="B151" s="100" t="s">
        <v>166</v>
      </c>
      <c r="C151" s="101" t="s">
        <v>15</v>
      </c>
      <c r="D151" s="101" t="s">
        <v>14</v>
      </c>
      <c r="E151" s="101" t="s">
        <v>8</v>
      </c>
      <c r="F151" s="102">
        <v>116546.8</v>
      </c>
      <c r="G151" s="102"/>
      <c r="H151" s="102">
        <f>SUM(F151:G151)</f>
        <v>116546.8</v>
      </c>
      <c r="I151" s="102"/>
      <c r="J151" s="102">
        <v>-370</v>
      </c>
      <c r="K151" s="102">
        <f t="shared" ref="K151:K153" si="241">SUM(H151,J151)</f>
        <v>116176.8</v>
      </c>
      <c r="L151" s="103" t="s">
        <v>204</v>
      </c>
      <c r="M151" s="102"/>
      <c r="N151" s="102">
        <f t="shared" ref="N151:N153" si="242">SUM(K151,M151)</f>
        <v>116176.8</v>
      </c>
      <c r="O151" s="103"/>
      <c r="P151" s="102">
        <f>-1414.9+500+6000</f>
        <v>5085.1000000000004</v>
      </c>
      <c r="Q151" s="102">
        <f t="shared" ref="Q151:Q153" si="243">SUM(N151,P151)</f>
        <v>121261.90000000001</v>
      </c>
      <c r="R151" s="130" t="s">
        <v>371</v>
      </c>
      <c r="S151" s="102">
        <f>304.2+606+567.1</f>
        <v>1477.3000000000002</v>
      </c>
      <c r="T151" s="145">
        <f t="shared" ref="T151:T153" si="244">SUM(Q151,S151)</f>
        <v>122739.20000000001</v>
      </c>
      <c r="U151" s="148" t="s">
        <v>487</v>
      </c>
    </row>
    <row r="152" spans="1:21" ht="81.75" hidden="1" customHeight="1" outlineLevel="1" x14ac:dyDescent="0.2">
      <c r="A152" s="81"/>
      <c r="B152" s="100" t="s">
        <v>167</v>
      </c>
      <c r="C152" s="101" t="s">
        <v>15</v>
      </c>
      <c r="D152" s="101" t="s">
        <v>14</v>
      </c>
      <c r="E152" s="101" t="s">
        <v>7</v>
      </c>
      <c r="F152" s="102">
        <v>48889.2</v>
      </c>
      <c r="G152" s="102"/>
      <c r="H152" s="102">
        <f t="shared" ref="H152:H153" si="245">SUM(F152:G152)</f>
        <v>48889.2</v>
      </c>
      <c r="I152" s="102"/>
      <c r="J152" s="102"/>
      <c r="K152" s="102">
        <f t="shared" si="241"/>
        <v>48889.2</v>
      </c>
      <c r="L152" s="103"/>
      <c r="M152" s="102">
        <v>263.7</v>
      </c>
      <c r="N152" s="102">
        <f t="shared" si="242"/>
        <v>49152.899999999994</v>
      </c>
      <c r="O152" s="103" t="s">
        <v>319</v>
      </c>
      <c r="P152" s="102">
        <v>7159.9</v>
      </c>
      <c r="Q152" s="102">
        <f t="shared" si="243"/>
        <v>56312.799999999996</v>
      </c>
      <c r="R152" s="132" t="s">
        <v>349</v>
      </c>
      <c r="S152" s="102">
        <f>-2066</f>
        <v>-2066</v>
      </c>
      <c r="T152" s="145">
        <f t="shared" si="244"/>
        <v>54246.799999999996</v>
      </c>
      <c r="U152" s="148" t="s">
        <v>477</v>
      </c>
    </row>
    <row r="153" spans="1:21" ht="75.75" hidden="1" customHeight="1" outlineLevel="1" x14ac:dyDescent="0.2">
      <c r="A153" s="81"/>
      <c r="B153" s="100" t="s">
        <v>168</v>
      </c>
      <c r="C153" s="101" t="s">
        <v>15</v>
      </c>
      <c r="D153" s="101" t="s">
        <v>14</v>
      </c>
      <c r="E153" s="101" t="s">
        <v>13</v>
      </c>
      <c r="F153" s="102">
        <v>47887.6</v>
      </c>
      <c r="G153" s="102"/>
      <c r="H153" s="102">
        <f t="shared" si="245"/>
        <v>47887.6</v>
      </c>
      <c r="I153" s="102"/>
      <c r="J153" s="102"/>
      <c r="K153" s="102">
        <f t="shared" si="241"/>
        <v>47887.6</v>
      </c>
      <c r="L153" s="103"/>
      <c r="M153" s="102">
        <f>-263.7</f>
        <v>-263.7</v>
      </c>
      <c r="N153" s="102">
        <f t="shared" si="242"/>
        <v>47623.9</v>
      </c>
      <c r="O153" s="103" t="s">
        <v>324</v>
      </c>
      <c r="P153" s="102"/>
      <c r="Q153" s="102">
        <f t="shared" si="243"/>
        <v>47623.9</v>
      </c>
      <c r="R153" s="82"/>
      <c r="S153" s="102">
        <v>300</v>
      </c>
      <c r="T153" s="145">
        <f t="shared" si="244"/>
        <v>47923.9</v>
      </c>
      <c r="U153" s="148" t="s">
        <v>437</v>
      </c>
    </row>
    <row r="154" spans="1:21" s="77" customFormat="1" ht="30" customHeight="1" collapsed="1" x14ac:dyDescent="0.2">
      <c r="A154" s="75"/>
      <c r="B154" s="92" t="s">
        <v>169</v>
      </c>
      <c r="C154" s="93" t="s">
        <v>11</v>
      </c>
      <c r="D154" s="93" t="s">
        <v>3</v>
      </c>
      <c r="E154" s="93" t="s">
        <v>3</v>
      </c>
      <c r="F154" s="94">
        <f>SUM(F155,F158)</f>
        <v>15940</v>
      </c>
      <c r="G154" s="94">
        <f>SUM(G155,G158)</f>
        <v>7360.4</v>
      </c>
      <c r="H154" s="94">
        <f>SUM(H155,H158)</f>
        <v>23300.400000000001</v>
      </c>
      <c r="I154" s="94"/>
      <c r="J154" s="94">
        <f>SUM(J155,J158)</f>
        <v>797</v>
      </c>
      <c r="K154" s="94">
        <f>SUM(K155,K158)</f>
        <v>24097.4</v>
      </c>
      <c r="L154" s="95"/>
      <c r="M154" s="94">
        <f>SUM(M155,M158)</f>
        <v>5565.5</v>
      </c>
      <c r="N154" s="94">
        <f>SUM(N155,N158)</f>
        <v>29662.9</v>
      </c>
      <c r="O154" s="95"/>
      <c r="P154" s="94">
        <f>SUM(P155,P158)</f>
        <v>264.2</v>
      </c>
      <c r="Q154" s="94">
        <f>SUM(Q155,Q158)</f>
        <v>29927.100000000002</v>
      </c>
      <c r="R154" s="76"/>
      <c r="S154" s="94">
        <f>SUM(S155,S158)</f>
        <v>0</v>
      </c>
      <c r="T154" s="127">
        <f>SUM(T155,T158)</f>
        <v>29927.100000000002</v>
      </c>
      <c r="U154" s="150"/>
    </row>
    <row r="155" spans="1:21" s="80" customFormat="1" ht="37.5" customHeight="1" x14ac:dyDescent="0.2">
      <c r="A155" s="78"/>
      <c r="B155" s="96" t="s">
        <v>170</v>
      </c>
      <c r="C155" s="97" t="s">
        <v>11</v>
      </c>
      <c r="D155" s="97" t="s">
        <v>12</v>
      </c>
      <c r="E155" s="97" t="s">
        <v>3</v>
      </c>
      <c r="F155" s="98">
        <f>SUM(F156:F157)</f>
        <v>7470</v>
      </c>
      <c r="G155" s="98">
        <f t="shared" ref="G155:N155" si="246">SUM(G156:G157)</f>
        <v>2258.1</v>
      </c>
      <c r="H155" s="98">
        <f t="shared" si="246"/>
        <v>9728.1</v>
      </c>
      <c r="I155" s="98">
        <f t="shared" si="246"/>
        <v>0</v>
      </c>
      <c r="J155" s="98">
        <f t="shared" si="246"/>
        <v>398.5</v>
      </c>
      <c r="K155" s="98">
        <f t="shared" si="246"/>
        <v>10126.6</v>
      </c>
      <c r="L155" s="98">
        <f t="shared" si="246"/>
        <v>0</v>
      </c>
      <c r="M155" s="98">
        <f t="shared" si="246"/>
        <v>-10035.5</v>
      </c>
      <c r="N155" s="98">
        <f t="shared" si="246"/>
        <v>91.1</v>
      </c>
      <c r="O155" s="99" t="s">
        <v>305</v>
      </c>
      <c r="P155" s="98">
        <f t="shared" ref="P155:Q155" si="247">SUM(P156:P157)</f>
        <v>-0.1</v>
      </c>
      <c r="Q155" s="98">
        <f t="shared" si="247"/>
        <v>91</v>
      </c>
      <c r="R155" s="79" t="s">
        <v>346</v>
      </c>
      <c r="S155" s="98">
        <f t="shared" ref="S155:T155" si="248">SUM(S156:S157)</f>
        <v>0</v>
      </c>
      <c r="T155" s="144">
        <f t="shared" si="248"/>
        <v>91</v>
      </c>
      <c r="U155" s="151"/>
    </row>
    <row r="156" spans="1:21" ht="113.25" hidden="1" customHeight="1" outlineLevel="1" x14ac:dyDescent="0.2">
      <c r="A156" s="81"/>
      <c r="B156" s="100" t="s">
        <v>272</v>
      </c>
      <c r="C156" s="101" t="s">
        <v>11</v>
      </c>
      <c r="D156" s="101" t="s">
        <v>12</v>
      </c>
      <c r="E156" s="101" t="s">
        <v>8</v>
      </c>
      <c r="F156" s="102">
        <v>0</v>
      </c>
      <c r="G156" s="102"/>
      <c r="H156" s="102">
        <v>0</v>
      </c>
      <c r="I156" s="103"/>
      <c r="J156" s="102"/>
      <c r="K156" s="102">
        <f>SUM(H156,J156)</f>
        <v>0</v>
      </c>
      <c r="L156" s="103"/>
      <c r="M156" s="102">
        <f>91.1</f>
        <v>91.1</v>
      </c>
      <c r="N156" s="102">
        <f>SUM(K156,M156)</f>
        <v>91.1</v>
      </c>
      <c r="O156" s="103" t="s">
        <v>273</v>
      </c>
      <c r="P156" s="102">
        <f>-0.1</f>
        <v>-0.1</v>
      </c>
      <c r="Q156" s="102">
        <f>SUM(N156,P156)</f>
        <v>91</v>
      </c>
      <c r="R156" s="82" t="s">
        <v>346</v>
      </c>
      <c r="S156" s="102"/>
      <c r="T156" s="145">
        <f>SUM(Q156,S156)</f>
        <v>91</v>
      </c>
      <c r="U156" s="148"/>
    </row>
    <row r="157" spans="1:21" ht="30" hidden="1" customHeight="1" outlineLevel="1" x14ac:dyDescent="0.2">
      <c r="A157" s="81"/>
      <c r="B157" s="100" t="s">
        <v>274</v>
      </c>
      <c r="C157" s="101" t="s">
        <v>11</v>
      </c>
      <c r="D157" s="101" t="s">
        <v>12</v>
      </c>
      <c r="E157" s="101" t="s">
        <v>9</v>
      </c>
      <c r="F157" s="102">
        <v>7470</v>
      </c>
      <c r="G157" s="102">
        <f>3357-1098.9</f>
        <v>2258.1</v>
      </c>
      <c r="H157" s="102">
        <f>SUM(F157:G157)</f>
        <v>9728.1</v>
      </c>
      <c r="I157" s="103" t="s">
        <v>191</v>
      </c>
      <c r="J157" s="102">
        <v>398.5</v>
      </c>
      <c r="K157" s="102">
        <f>SUM(H157,J157)</f>
        <v>10126.6</v>
      </c>
      <c r="L157" s="103" t="s">
        <v>212</v>
      </c>
      <c r="M157" s="102">
        <f>-3357-5250.6-1519</f>
        <v>-10126.6</v>
      </c>
      <c r="N157" s="102">
        <f>SUM(K157,M157)</f>
        <v>0</v>
      </c>
      <c r="O157" s="103" t="s">
        <v>250</v>
      </c>
      <c r="P157" s="102"/>
      <c r="Q157" s="102">
        <f>SUM(N157,P157)</f>
        <v>0</v>
      </c>
      <c r="R157" s="82"/>
      <c r="S157" s="102"/>
      <c r="T157" s="145">
        <f>SUM(Q157,S157)</f>
        <v>0</v>
      </c>
      <c r="U157" s="148"/>
    </row>
    <row r="158" spans="1:21" s="80" customFormat="1" ht="31.5" customHeight="1" collapsed="1" x14ac:dyDescent="0.2">
      <c r="A158" s="78"/>
      <c r="B158" s="96" t="s">
        <v>171</v>
      </c>
      <c r="C158" s="97" t="s">
        <v>11</v>
      </c>
      <c r="D158" s="97" t="s">
        <v>10</v>
      </c>
      <c r="E158" s="97" t="s">
        <v>3</v>
      </c>
      <c r="F158" s="98">
        <f>SUM(F159:F160)</f>
        <v>8470</v>
      </c>
      <c r="G158" s="98">
        <f t="shared" ref="G158:H158" si="249">SUM(G159:G160)</f>
        <v>5102.3</v>
      </c>
      <c r="H158" s="98">
        <f t="shared" si="249"/>
        <v>13572.3</v>
      </c>
      <c r="I158" s="106" t="s">
        <v>260</v>
      </c>
      <c r="J158" s="98">
        <f t="shared" ref="J158:K158" si="250">SUM(J159:J160)</f>
        <v>398.5</v>
      </c>
      <c r="K158" s="98">
        <f t="shared" si="250"/>
        <v>13970.8</v>
      </c>
      <c r="L158" s="106" t="s">
        <v>213</v>
      </c>
      <c r="M158" s="98">
        <f t="shared" ref="M158:N158" si="251">SUM(M159:M160)</f>
        <v>15601</v>
      </c>
      <c r="N158" s="98">
        <f t="shared" si="251"/>
        <v>29571.800000000003</v>
      </c>
      <c r="O158" s="106" t="s">
        <v>322</v>
      </c>
      <c r="P158" s="98">
        <f t="shared" ref="P158:Q158" si="252">SUM(P159:P160)</f>
        <v>264.3</v>
      </c>
      <c r="Q158" s="98">
        <f t="shared" si="252"/>
        <v>29836.100000000002</v>
      </c>
      <c r="R158" s="84" t="s">
        <v>347</v>
      </c>
      <c r="S158" s="98">
        <f t="shared" ref="S158:T158" si="253">SUM(S159:S160)</f>
        <v>0</v>
      </c>
      <c r="T158" s="144">
        <f t="shared" si="253"/>
        <v>29836.100000000002</v>
      </c>
      <c r="U158" s="151"/>
    </row>
    <row r="159" spans="1:21" ht="124.5" hidden="1" customHeight="1" outlineLevel="1" x14ac:dyDescent="0.2">
      <c r="A159" s="81"/>
      <c r="B159" s="100" t="s">
        <v>172</v>
      </c>
      <c r="C159" s="101" t="s">
        <v>11</v>
      </c>
      <c r="D159" s="101" t="s">
        <v>10</v>
      </c>
      <c r="E159" s="101" t="s">
        <v>8</v>
      </c>
      <c r="F159" s="102">
        <v>1000</v>
      </c>
      <c r="G159" s="102">
        <f>2350+494.3</f>
        <v>2844.3</v>
      </c>
      <c r="H159" s="102">
        <f>SUM(F159:G159)</f>
        <v>3844.3</v>
      </c>
      <c r="I159" s="103" t="s">
        <v>194</v>
      </c>
      <c r="J159" s="102"/>
      <c r="K159" s="102">
        <f t="shared" ref="K159:K160" si="254">SUM(H159,J159)</f>
        <v>3844.3</v>
      </c>
      <c r="L159" s="103"/>
      <c r="M159" s="102">
        <f>-64.2+1500+193-494.3+176.1-659.3</f>
        <v>651.29999999999995</v>
      </c>
      <c r="N159" s="102">
        <f t="shared" ref="N159:N160" si="255">SUM(K159,M159)</f>
        <v>4495.6000000000004</v>
      </c>
      <c r="O159" s="103" t="s">
        <v>294</v>
      </c>
      <c r="P159" s="102">
        <f>270-5.7</f>
        <v>264.3</v>
      </c>
      <c r="Q159" s="102">
        <f t="shared" ref="Q159:Q160" si="256">SUM(N159,P159)</f>
        <v>4759.9000000000005</v>
      </c>
      <c r="R159" s="82" t="s">
        <v>347</v>
      </c>
      <c r="S159" s="102"/>
      <c r="T159" s="145">
        <f t="shared" ref="T159:T160" si="257">SUM(Q159,S159)</f>
        <v>4759.9000000000005</v>
      </c>
      <c r="U159" s="148"/>
    </row>
    <row r="160" spans="1:21" ht="33" hidden="1" customHeight="1" outlineLevel="1" x14ac:dyDescent="0.2">
      <c r="A160" s="81"/>
      <c r="B160" s="100" t="s">
        <v>274</v>
      </c>
      <c r="C160" s="101" t="s">
        <v>11</v>
      </c>
      <c r="D160" s="101" t="s">
        <v>10</v>
      </c>
      <c r="E160" s="101" t="s">
        <v>9</v>
      </c>
      <c r="F160" s="102">
        <v>7470</v>
      </c>
      <c r="G160" s="102">
        <f>3356.9-1098.9</f>
        <v>2258</v>
      </c>
      <c r="H160" s="102">
        <f>SUM(F160:G160)</f>
        <v>9728</v>
      </c>
      <c r="I160" s="103" t="s">
        <v>192</v>
      </c>
      <c r="J160" s="102">
        <v>398.5</v>
      </c>
      <c r="K160" s="102">
        <f t="shared" si="254"/>
        <v>10126.5</v>
      </c>
      <c r="L160" s="103" t="s">
        <v>213</v>
      </c>
      <c r="M160" s="102">
        <f>221.9+141.9+3357+5250.6+1583.2+3735.9+659.3-0.1</f>
        <v>14949.7</v>
      </c>
      <c r="N160" s="102">
        <f t="shared" si="255"/>
        <v>25076.2</v>
      </c>
      <c r="O160" s="103" t="s">
        <v>313</v>
      </c>
      <c r="P160" s="102"/>
      <c r="Q160" s="102">
        <f t="shared" si="256"/>
        <v>25076.2</v>
      </c>
      <c r="R160" s="82"/>
      <c r="S160" s="102"/>
      <c r="T160" s="145">
        <f t="shared" si="257"/>
        <v>25076.2</v>
      </c>
      <c r="U160" s="148"/>
    </row>
    <row r="161" spans="1:21" s="77" customFormat="1" ht="12.75" customHeight="1" collapsed="1" x14ac:dyDescent="0.2">
      <c r="A161" s="75"/>
      <c r="B161" s="92" t="s">
        <v>173</v>
      </c>
      <c r="C161" s="93" t="s">
        <v>2</v>
      </c>
      <c r="D161" s="93" t="s">
        <v>3</v>
      </c>
      <c r="E161" s="93" t="s">
        <v>3</v>
      </c>
      <c r="F161" s="94">
        <f>SUM(F162:F167)</f>
        <v>95189.7</v>
      </c>
      <c r="G161" s="94">
        <f t="shared" ref="G161:H161" si="258">SUM(G162:G167)</f>
        <v>0</v>
      </c>
      <c r="H161" s="94">
        <f t="shared" si="258"/>
        <v>95189.7</v>
      </c>
      <c r="I161" s="94"/>
      <c r="J161" s="94">
        <f t="shared" ref="J161:K161" si="259">SUM(J162:J167)</f>
        <v>2513</v>
      </c>
      <c r="K161" s="94">
        <f t="shared" si="259"/>
        <v>97702.7</v>
      </c>
      <c r="L161" s="95"/>
      <c r="M161" s="94">
        <f>SUM(M162:M167)</f>
        <v>2.8000000000000682</v>
      </c>
      <c r="N161" s="94">
        <f t="shared" ref="N161" si="260">SUM(N162:N167)</f>
        <v>97705.5</v>
      </c>
      <c r="O161" s="95"/>
      <c r="P161" s="94">
        <f>SUM(P162:P167)</f>
        <v>16178.300000000001</v>
      </c>
      <c r="Q161" s="94">
        <f t="shared" ref="Q161" si="261">SUM(Q162:Q167)</f>
        <v>113883.8</v>
      </c>
      <c r="R161" s="76"/>
      <c r="S161" s="94">
        <f>SUM(S162:S167)</f>
        <v>2343.2999999999993</v>
      </c>
      <c r="T161" s="127">
        <f t="shared" ref="T161" si="262">SUM(T162:T167)</f>
        <v>116227.1</v>
      </c>
      <c r="U161" s="150"/>
    </row>
    <row r="162" spans="1:21" ht="36.75" customHeight="1" x14ac:dyDescent="0.2">
      <c r="A162" s="81"/>
      <c r="B162" s="100" t="s">
        <v>174</v>
      </c>
      <c r="C162" s="101" t="s">
        <v>2</v>
      </c>
      <c r="D162" s="101" t="s">
        <v>1</v>
      </c>
      <c r="E162" s="101" t="s">
        <v>8</v>
      </c>
      <c r="F162" s="102">
        <v>20348.099999999999</v>
      </c>
      <c r="G162" s="102"/>
      <c r="H162" s="102">
        <f>SUM(F162:G162)</f>
        <v>20348.099999999999</v>
      </c>
      <c r="I162" s="102"/>
      <c r="J162" s="102">
        <v>-60</v>
      </c>
      <c r="K162" s="102">
        <f t="shared" ref="K162:K167" si="263">SUM(H162,J162)</f>
        <v>20288.099999999999</v>
      </c>
      <c r="L162" s="103" t="s">
        <v>234</v>
      </c>
      <c r="M162" s="102"/>
      <c r="N162" s="102">
        <f t="shared" ref="N162:N167" si="264">SUM(K162,M162)</f>
        <v>20288.099999999999</v>
      </c>
      <c r="O162" s="103"/>
      <c r="P162" s="102">
        <f>-2.5+283.7</f>
        <v>281.2</v>
      </c>
      <c r="Q162" s="102">
        <f t="shared" ref="Q162:Q167" si="265">SUM(N162,P162)</f>
        <v>20569.3</v>
      </c>
      <c r="R162" s="82" t="s">
        <v>416</v>
      </c>
      <c r="S162" s="102">
        <v>127</v>
      </c>
      <c r="T162" s="145">
        <f t="shared" ref="T162:T167" si="266">SUM(Q162,S162)</f>
        <v>20696.3</v>
      </c>
      <c r="U162" s="148" t="s">
        <v>439</v>
      </c>
    </row>
    <row r="163" spans="1:21" ht="42" customHeight="1" x14ac:dyDescent="0.2">
      <c r="A163" s="81"/>
      <c r="B163" s="100" t="s">
        <v>175</v>
      </c>
      <c r="C163" s="101" t="s">
        <v>2</v>
      </c>
      <c r="D163" s="101" t="s">
        <v>1</v>
      </c>
      <c r="E163" s="101" t="s">
        <v>7</v>
      </c>
      <c r="F163" s="102">
        <v>12159</v>
      </c>
      <c r="G163" s="102"/>
      <c r="H163" s="102">
        <f t="shared" ref="H163:H167" si="267">SUM(F163:G163)</f>
        <v>12159</v>
      </c>
      <c r="I163" s="102"/>
      <c r="J163" s="102"/>
      <c r="K163" s="102">
        <f t="shared" si="263"/>
        <v>12159</v>
      </c>
      <c r="L163" s="103"/>
      <c r="M163" s="102"/>
      <c r="N163" s="102">
        <f t="shared" si="264"/>
        <v>12159</v>
      </c>
      <c r="O163" s="103"/>
      <c r="P163" s="102">
        <f>273+8.9</f>
        <v>281.89999999999998</v>
      </c>
      <c r="Q163" s="102">
        <f t="shared" si="265"/>
        <v>12440.9</v>
      </c>
      <c r="R163" s="82" t="s">
        <v>408</v>
      </c>
      <c r="S163" s="102">
        <v>9.9</v>
      </c>
      <c r="T163" s="145">
        <f t="shared" si="266"/>
        <v>12450.8</v>
      </c>
      <c r="U163" s="148" t="s">
        <v>438</v>
      </c>
    </row>
    <row r="164" spans="1:21" ht="31.5" customHeight="1" x14ac:dyDescent="0.2">
      <c r="A164" s="81"/>
      <c r="B164" s="100" t="s">
        <v>176</v>
      </c>
      <c r="C164" s="101" t="s">
        <v>2</v>
      </c>
      <c r="D164" s="101" t="s">
        <v>1</v>
      </c>
      <c r="E164" s="101" t="s">
        <v>6</v>
      </c>
      <c r="F164" s="102">
        <v>2000</v>
      </c>
      <c r="G164" s="102">
        <v>-14.5</v>
      </c>
      <c r="H164" s="102">
        <f t="shared" si="267"/>
        <v>1985.5</v>
      </c>
      <c r="I164" s="103" t="s">
        <v>184</v>
      </c>
      <c r="J164" s="102"/>
      <c r="K164" s="102">
        <f t="shared" si="263"/>
        <v>1985.5</v>
      </c>
      <c r="L164" s="103"/>
      <c r="M164" s="102">
        <f>-64.8-500</f>
        <v>-564.79999999999995</v>
      </c>
      <c r="N164" s="102">
        <f t="shared" si="264"/>
        <v>1420.7</v>
      </c>
      <c r="O164" s="103" t="s">
        <v>326</v>
      </c>
      <c r="P164" s="102">
        <f>-59.2-122.7-270</f>
        <v>-451.9</v>
      </c>
      <c r="Q164" s="102">
        <f t="shared" si="265"/>
        <v>968.80000000000007</v>
      </c>
      <c r="R164" s="82" t="s">
        <v>362</v>
      </c>
      <c r="S164" s="102">
        <f>-93.2-800</f>
        <v>-893.2</v>
      </c>
      <c r="T164" s="145">
        <f t="shared" si="266"/>
        <v>75.600000000000023</v>
      </c>
      <c r="U164" s="148" t="s">
        <v>478</v>
      </c>
    </row>
    <row r="165" spans="1:21" ht="42.75" customHeight="1" x14ac:dyDescent="0.2">
      <c r="A165" s="81"/>
      <c r="B165" s="100" t="s">
        <v>177</v>
      </c>
      <c r="C165" s="101" t="s">
        <v>2</v>
      </c>
      <c r="D165" s="101" t="s">
        <v>1</v>
      </c>
      <c r="E165" s="101" t="s">
        <v>5</v>
      </c>
      <c r="F165" s="102">
        <v>8180</v>
      </c>
      <c r="G165" s="102">
        <v>14.5</v>
      </c>
      <c r="H165" s="102">
        <f t="shared" si="267"/>
        <v>8194.5</v>
      </c>
      <c r="I165" s="103" t="s">
        <v>195</v>
      </c>
      <c r="J165" s="102">
        <f>919.1+780.9</f>
        <v>1700</v>
      </c>
      <c r="K165" s="102">
        <f t="shared" si="263"/>
        <v>9894.5</v>
      </c>
      <c r="L165" s="103" t="s">
        <v>230</v>
      </c>
      <c r="M165" s="102">
        <f>64.8+2.8+500</f>
        <v>567.6</v>
      </c>
      <c r="N165" s="102">
        <f t="shared" si="264"/>
        <v>10462.1</v>
      </c>
      <c r="O165" s="103" t="s">
        <v>327</v>
      </c>
      <c r="P165" s="102">
        <f>91.5+2065.4+59.2+122.7+2.5+270+1000+445</f>
        <v>4056.2999999999997</v>
      </c>
      <c r="Q165" s="102">
        <f t="shared" si="265"/>
        <v>14518.4</v>
      </c>
      <c r="R165" s="82" t="s">
        <v>413</v>
      </c>
      <c r="S165" s="102">
        <f>93.1+1500.1+325</f>
        <v>1918.1999999999998</v>
      </c>
      <c r="T165" s="145">
        <f t="shared" si="266"/>
        <v>16436.599999999999</v>
      </c>
      <c r="U165" s="148" t="s">
        <v>490</v>
      </c>
    </row>
    <row r="166" spans="1:21" ht="100.5" customHeight="1" x14ac:dyDescent="0.2">
      <c r="A166" s="81"/>
      <c r="B166" s="100" t="s">
        <v>161</v>
      </c>
      <c r="C166" s="101" t="s">
        <v>2</v>
      </c>
      <c r="D166" s="101" t="s">
        <v>1</v>
      </c>
      <c r="E166" s="101" t="s">
        <v>280</v>
      </c>
      <c r="F166" s="102">
        <v>52502.6</v>
      </c>
      <c r="G166" s="102"/>
      <c r="H166" s="102">
        <f t="shared" si="267"/>
        <v>52502.6</v>
      </c>
      <c r="I166" s="102"/>
      <c r="J166" s="102">
        <f>8.6+164.4+700</f>
        <v>873</v>
      </c>
      <c r="K166" s="102">
        <f t="shared" si="263"/>
        <v>53375.6</v>
      </c>
      <c r="L166" s="103" t="s">
        <v>235</v>
      </c>
      <c r="M166" s="102"/>
      <c r="N166" s="102">
        <f t="shared" si="264"/>
        <v>53375.6</v>
      </c>
      <c r="O166" s="103"/>
      <c r="P166" s="102">
        <f>-604.4+12788.2-173</f>
        <v>12010.800000000001</v>
      </c>
      <c r="Q166" s="102">
        <f t="shared" si="265"/>
        <v>65386.400000000001</v>
      </c>
      <c r="R166" s="130" t="s">
        <v>380</v>
      </c>
      <c r="S166" s="102">
        <f>-155.9+1337.3</f>
        <v>1181.3999999999999</v>
      </c>
      <c r="T166" s="145">
        <f t="shared" si="266"/>
        <v>66567.8</v>
      </c>
      <c r="U166" s="130" t="s">
        <v>452</v>
      </c>
    </row>
    <row r="167" spans="1:21" ht="33" customHeight="1" x14ac:dyDescent="0.2">
      <c r="A167" s="81"/>
      <c r="B167" s="100" t="s">
        <v>178</v>
      </c>
      <c r="C167" s="101" t="s">
        <v>2</v>
      </c>
      <c r="D167" s="101" t="s">
        <v>1</v>
      </c>
      <c r="E167" s="101" t="s">
        <v>0</v>
      </c>
      <c r="F167" s="102">
        <v>0</v>
      </c>
      <c r="G167" s="102"/>
      <c r="H167" s="102">
        <f t="shared" si="267"/>
        <v>0</v>
      </c>
      <c r="I167" s="102"/>
      <c r="J167" s="102"/>
      <c r="K167" s="102">
        <f t="shared" si="263"/>
        <v>0</v>
      </c>
      <c r="L167" s="103"/>
      <c r="M167" s="102"/>
      <c r="N167" s="102">
        <f t="shared" si="264"/>
        <v>0</v>
      </c>
      <c r="O167" s="103"/>
      <c r="P167" s="102"/>
      <c r="Q167" s="102">
        <f t="shared" si="265"/>
        <v>0</v>
      </c>
      <c r="R167" s="82"/>
      <c r="S167" s="102"/>
      <c r="T167" s="145">
        <f t="shared" si="266"/>
        <v>0</v>
      </c>
      <c r="U167" s="148"/>
    </row>
    <row r="168" spans="1:21" ht="35.25" customHeight="1" x14ac:dyDescent="0.2">
      <c r="A168" s="3"/>
      <c r="B168" s="116"/>
      <c r="C168" s="117" t="s">
        <v>2</v>
      </c>
      <c r="D168" s="117" t="s">
        <v>1</v>
      </c>
      <c r="E168" s="117" t="s">
        <v>0</v>
      </c>
      <c r="F168" s="118">
        <f>SUM(F7,F15,F20,F27,F30,F35,F46,F48,F51,F61,F65,F78,F82,F90,F105,F107,F110,F118,F123,F141,F143,F154,F161)</f>
        <v>4064347.2</v>
      </c>
      <c r="G168" s="118">
        <f>SUM(G7,G15,G20,G27,G30,G35,G46,G48,G51,G61,G65,G78,G82,G90,G105,G107,G110,G118,G123,G141,G143,G154,G161)</f>
        <v>151368.79999999999</v>
      </c>
      <c r="H168" s="118">
        <f>SUM(H7,H15,H20,H27,H30,H35,H46,H48,H51,H61,H65,H78,H82,H90,H105,H107,H110,H118,H123,H141,H143,H154,H161)</f>
        <v>4585506.9000000004</v>
      </c>
      <c r="I168" s="118"/>
      <c r="J168" s="118">
        <f>SUM(J7,J15,J20,J27,J30,J35,J46,J48,J51,J61,J65,J78,J82,J90,J105,J107,J110,J118,J123,J141,J143,J154,J161)</f>
        <v>1108529.5</v>
      </c>
      <c r="K168" s="118">
        <f>SUM(K7,K15,K20,K27,K30,K35,K46,K48,K51,K61,K65,K78,K82,K90,K105,K107,K110,K118,K123,K141,K143,K154,K161)</f>
        <v>5302616.7000000011</v>
      </c>
      <c r="L168" s="118">
        <f>SUM(L7,L15,L20,L27,L30,L35,L46,L48,L51,L61,L65,L78,L82,L90,L105,L107,L110,L118,L123,L141,L143,L154,L161)</f>
        <v>0</v>
      </c>
      <c r="M168" s="119">
        <f>SUM(M7,M15,M20,M27,M30,M35,M46,M48,M51,M61,M65,M78,M82,M90,M105,M107,M110,M118,M123,M141,M143,M154,M161)+0.1</f>
        <v>51839.079999999994</v>
      </c>
      <c r="N168" s="118">
        <f>SUM(N7,N15,N20,N27,N30,N35,N46,N48,N51,N61,N65,N78,N82,N90,N105,N107,N110,N118,N123,N141,N143,N154,N161)+0.1</f>
        <v>5354455.79</v>
      </c>
      <c r="O168" s="120"/>
      <c r="P168" s="119">
        <f>SUM(Q168-N168)</f>
        <v>297454.51999999862</v>
      </c>
      <c r="Q168" s="118">
        <f>SUM(Q7,Q15,Q20,Q27,Q30,Q35,Q46,Q48,Q51,Q61,Q65,Q78,Q82,Q90,Q105,Q107,Q110,Q118,Q123,Q141,Q143,Q154,Q161)+0.1</f>
        <v>5651910.3099999987</v>
      </c>
      <c r="R168" s="89"/>
      <c r="S168" s="119">
        <f>SUM(T168-Q168)</f>
        <v>103410.69999999925</v>
      </c>
      <c r="T168" s="118">
        <f>SUM(T7,T15,T20,T27,T30,T35,T46,T48,T51,T61,T65,T78,T82,T90,T105,T107,T110,T118,T123,T141,T143,T154,T161)+0.1</f>
        <v>5755321.0099999979</v>
      </c>
      <c r="U168" s="148"/>
    </row>
    <row r="169" spans="1:21" ht="12.75" customHeight="1" x14ac:dyDescent="0.2">
      <c r="A169" s="2"/>
      <c r="B169" s="87"/>
      <c r="C169" s="87"/>
      <c r="D169" s="87"/>
      <c r="E169" s="87"/>
      <c r="F169" s="81"/>
      <c r="G169" s="81"/>
      <c r="H169" s="81"/>
      <c r="I169" s="81"/>
      <c r="J169" s="81"/>
      <c r="K169" s="81"/>
      <c r="L169" s="88"/>
      <c r="M169" s="81"/>
      <c r="N169" s="81"/>
      <c r="O169" s="88"/>
      <c r="P169" s="81"/>
      <c r="Q169" s="81"/>
      <c r="R169" s="88"/>
    </row>
    <row r="170" spans="1:21" x14ac:dyDescent="0.2">
      <c r="P170" s="122"/>
    </row>
  </sheetData>
  <mergeCells count="2">
    <mergeCell ref="C5:E5"/>
    <mergeCell ref="B4:U4"/>
  </mergeCells>
  <pageMargins left="0.39370078740157483" right="0.39370078740157483" top="0.98425196850393704" bottom="0" header="0.51181102362204722" footer="0.51181102362204722"/>
  <pageSetup paperSize="9" scale="47" fitToHeight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0"/>
  <sheetViews>
    <sheetView showGridLines="0" topLeftCell="A71" zoomScale="80" zoomScaleNormal="80" zoomScaleSheetLayoutView="68" workbookViewId="0">
      <pane xSplit="5" topLeftCell="F1" activePane="topRight" state="frozen"/>
      <selection pane="topRight" activeCell="B83" sqref="B83"/>
    </sheetView>
  </sheetViews>
  <sheetFormatPr defaultColWidth="9.140625" defaultRowHeight="12.75" outlineLevelRow="1" x14ac:dyDescent="0.2"/>
  <cols>
    <col min="1" max="1" width="0.7109375" style="62" customWidth="1"/>
    <col min="2" max="2" width="65.28515625" style="62" customWidth="1"/>
    <col min="3" max="5" width="5.28515625" style="62" customWidth="1"/>
    <col min="6" max="6" width="14.7109375" style="62" customWidth="1"/>
    <col min="7" max="7" width="10.5703125" style="62" hidden="1" customWidth="1"/>
    <col min="8" max="8" width="15" style="62" customWidth="1"/>
    <col min="9" max="9" width="63.28515625" style="62" hidden="1" customWidth="1"/>
    <col min="10" max="10" width="17.140625" style="62" hidden="1" customWidth="1"/>
    <col min="11" max="11" width="15" style="62" customWidth="1"/>
    <col min="12" max="12" width="63.28515625" style="86" hidden="1" customWidth="1"/>
    <col min="13" max="13" width="17.140625" style="62" hidden="1" customWidth="1"/>
    <col min="14" max="14" width="15" style="62" customWidth="1"/>
    <col min="15" max="15" width="14.85546875" style="86" hidden="1" customWidth="1"/>
    <col min="16" max="16" width="22.140625" style="62" hidden="1" customWidth="1"/>
    <col min="17" max="17" width="15" style="62" customWidth="1"/>
    <col min="18" max="18" width="98.140625" style="86" hidden="1" customWidth="1"/>
    <col min="19" max="19" width="15" style="62" customWidth="1"/>
    <col min="20" max="20" width="21.85546875" style="62" customWidth="1"/>
    <col min="21" max="21" width="92.42578125" style="62" customWidth="1"/>
    <col min="22" max="206" width="9.140625" style="62" customWidth="1"/>
    <col min="207" max="16384" width="9.140625" style="62"/>
  </cols>
  <sheetData>
    <row r="1" spans="1:21" x14ac:dyDescent="0.2">
      <c r="I1" s="63" t="s">
        <v>38</v>
      </c>
      <c r="L1" s="64" t="s">
        <v>38</v>
      </c>
      <c r="O1" s="64"/>
      <c r="U1" s="64" t="s">
        <v>492</v>
      </c>
    </row>
    <row r="2" spans="1:21" x14ac:dyDescent="0.2">
      <c r="I2" s="63" t="s">
        <v>39</v>
      </c>
      <c r="L2" s="64" t="s">
        <v>39</v>
      </c>
      <c r="O2" s="64"/>
      <c r="U2" s="64" t="s">
        <v>39</v>
      </c>
    </row>
    <row r="3" spans="1:2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5"/>
      <c r="N3" s="65"/>
      <c r="O3" s="66"/>
      <c r="P3" s="65"/>
      <c r="Q3" s="65"/>
      <c r="R3" s="66"/>
    </row>
    <row r="4" spans="1:21" ht="27.75" customHeight="1" thickBot="1" x14ac:dyDescent="0.25">
      <c r="A4" s="65"/>
      <c r="B4" s="168" t="s">
        <v>201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s="71" customFormat="1" ht="130.5" customHeight="1" thickBot="1" x14ac:dyDescent="0.3">
      <c r="A5" s="67"/>
      <c r="B5" s="68" t="s">
        <v>32</v>
      </c>
      <c r="C5" s="165" t="s">
        <v>33</v>
      </c>
      <c r="D5" s="166"/>
      <c r="E5" s="167"/>
      <c r="F5" s="68" t="s">
        <v>34</v>
      </c>
      <c r="G5" s="159" t="s">
        <v>35</v>
      </c>
      <c r="H5" s="68" t="s">
        <v>202</v>
      </c>
      <c r="I5" s="68" t="s">
        <v>37</v>
      </c>
      <c r="J5" s="159" t="s">
        <v>35</v>
      </c>
      <c r="K5" s="68" t="s">
        <v>249</v>
      </c>
      <c r="L5" s="160" t="s">
        <v>37</v>
      </c>
      <c r="M5" s="159" t="s">
        <v>35</v>
      </c>
      <c r="N5" s="68" t="s">
        <v>335</v>
      </c>
      <c r="O5" s="160" t="s">
        <v>37</v>
      </c>
      <c r="P5" s="159" t="s">
        <v>35</v>
      </c>
      <c r="Q5" s="68" t="s">
        <v>421</v>
      </c>
      <c r="R5" s="160" t="s">
        <v>37</v>
      </c>
      <c r="S5" s="159" t="s">
        <v>35</v>
      </c>
      <c r="T5" s="68" t="s">
        <v>36</v>
      </c>
      <c r="U5" s="160" t="s">
        <v>37</v>
      </c>
    </row>
    <row r="6" spans="1:21" ht="12" customHeight="1" x14ac:dyDescent="0.2">
      <c r="A6" s="65"/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  <c r="M6" s="73"/>
      <c r="N6" s="73"/>
      <c r="O6" s="74"/>
      <c r="P6" s="73"/>
      <c r="Q6" s="73"/>
      <c r="R6" s="74"/>
    </row>
    <row r="7" spans="1:21" s="77" customFormat="1" ht="52.5" customHeight="1" x14ac:dyDescent="0.25">
      <c r="A7" s="75"/>
      <c r="B7" s="169" t="s">
        <v>40</v>
      </c>
      <c r="C7" s="170" t="s">
        <v>8</v>
      </c>
      <c r="D7" s="170" t="s">
        <v>3</v>
      </c>
      <c r="E7" s="170" t="s">
        <v>3</v>
      </c>
      <c r="F7" s="171">
        <f>SUM(F8,F10,F12)</f>
        <v>36172.300000000003</v>
      </c>
      <c r="G7" s="171">
        <f t="shared" ref="G7:H7" si="0">SUM(G8,G10,G12)</f>
        <v>0</v>
      </c>
      <c r="H7" s="171">
        <f t="shared" si="0"/>
        <v>36172.300000000003</v>
      </c>
      <c r="I7" s="171"/>
      <c r="J7" s="171">
        <f t="shared" ref="J7:K7" si="1">SUM(J8,J10,J12)</f>
        <v>0</v>
      </c>
      <c r="K7" s="171">
        <f t="shared" si="1"/>
        <v>36172.300000000003</v>
      </c>
      <c r="L7" s="172"/>
      <c r="M7" s="171">
        <f t="shared" ref="M7:N7" si="2">SUM(M8,M10,M12)</f>
        <v>0</v>
      </c>
      <c r="N7" s="171">
        <f t="shared" si="2"/>
        <v>36172.300000000003</v>
      </c>
      <c r="O7" s="172"/>
      <c r="P7" s="171">
        <f t="shared" ref="P7:Q7" si="3">SUM(P8,P10,P12)</f>
        <v>1854.9</v>
      </c>
      <c r="Q7" s="171">
        <f t="shared" si="3"/>
        <v>38027.200000000004</v>
      </c>
      <c r="R7" s="172"/>
      <c r="S7" s="171">
        <f t="shared" ref="S7:T7" si="4">SUM(S8,S10,S12)</f>
        <v>595</v>
      </c>
      <c r="T7" s="173">
        <f t="shared" si="4"/>
        <v>38622.199999999997</v>
      </c>
      <c r="U7" s="174"/>
    </row>
    <row r="8" spans="1:21" s="80" customFormat="1" ht="63.75" customHeight="1" x14ac:dyDescent="0.2">
      <c r="A8" s="78"/>
      <c r="B8" s="175" t="s">
        <v>41</v>
      </c>
      <c r="C8" s="176" t="s">
        <v>8</v>
      </c>
      <c r="D8" s="176" t="s">
        <v>12</v>
      </c>
      <c r="E8" s="176" t="s">
        <v>3</v>
      </c>
      <c r="F8" s="177">
        <f>SUM(F9)</f>
        <v>1500</v>
      </c>
      <c r="G8" s="177">
        <f t="shared" ref="G8:T8" si="5">SUM(G9)</f>
        <v>0</v>
      </c>
      <c r="H8" s="177">
        <f t="shared" si="5"/>
        <v>1500</v>
      </c>
      <c r="I8" s="177"/>
      <c r="J8" s="177">
        <f t="shared" si="5"/>
        <v>0</v>
      </c>
      <c r="K8" s="177">
        <f t="shared" si="5"/>
        <v>1500</v>
      </c>
      <c r="L8" s="178"/>
      <c r="M8" s="177">
        <f t="shared" si="5"/>
        <v>282.7</v>
      </c>
      <c r="N8" s="177">
        <f t="shared" si="5"/>
        <v>1782.7</v>
      </c>
      <c r="O8" s="178" t="s">
        <v>301</v>
      </c>
      <c r="P8" s="177">
        <f t="shared" si="5"/>
        <v>157.30000000000001</v>
      </c>
      <c r="Q8" s="177">
        <f t="shared" si="5"/>
        <v>1940</v>
      </c>
      <c r="R8" s="178" t="s">
        <v>367</v>
      </c>
      <c r="S8" s="177">
        <f t="shared" si="5"/>
        <v>176.8</v>
      </c>
      <c r="T8" s="179">
        <f t="shared" si="5"/>
        <v>2116.8000000000002</v>
      </c>
      <c r="U8" s="180" t="s">
        <v>428</v>
      </c>
    </row>
    <row r="9" spans="1:21" ht="43.5" hidden="1" customHeight="1" outlineLevel="1" x14ac:dyDescent="0.2">
      <c r="A9" s="81"/>
      <c r="B9" s="181" t="s">
        <v>42</v>
      </c>
      <c r="C9" s="182" t="s">
        <v>8</v>
      </c>
      <c r="D9" s="182" t="s">
        <v>12</v>
      </c>
      <c r="E9" s="182" t="s">
        <v>8</v>
      </c>
      <c r="F9" s="183">
        <v>1500</v>
      </c>
      <c r="G9" s="183"/>
      <c r="H9" s="183">
        <f>SUM(F9:G9)</f>
        <v>1500</v>
      </c>
      <c r="I9" s="183"/>
      <c r="J9" s="183"/>
      <c r="K9" s="183">
        <f>SUM(H9,J9)</f>
        <v>1500</v>
      </c>
      <c r="L9" s="184"/>
      <c r="M9" s="183">
        <v>282.7</v>
      </c>
      <c r="N9" s="183">
        <f>SUM(K9,M9)</f>
        <v>1782.7</v>
      </c>
      <c r="O9" s="184" t="s">
        <v>285</v>
      </c>
      <c r="P9" s="183">
        <v>157.30000000000001</v>
      </c>
      <c r="Q9" s="183">
        <f>SUM(N9,P9)</f>
        <v>1940</v>
      </c>
      <c r="R9" s="184" t="s">
        <v>367</v>
      </c>
      <c r="S9" s="183">
        <v>176.8</v>
      </c>
      <c r="T9" s="185">
        <f>SUM(Q9,S9)</f>
        <v>2116.8000000000002</v>
      </c>
      <c r="U9" s="186" t="s">
        <v>428</v>
      </c>
    </row>
    <row r="10" spans="1:21" s="80" customFormat="1" ht="48.75" customHeight="1" collapsed="1" x14ac:dyDescent="0.2">
      <c r="A10" s="78"/>
      <c r="B10" s="175" t="s">
        <v>43</v>
      </c>
      <c r="C10" s="176" t="s">
        <v>8</v>
      </c>
      <c r="D10" s="176" t="s">
        <v>10</v>
      </c>
      <c r="E10" s="176" t="s">
        <v>3</v>
      </c>
      <c r="F10" s="177">
        <f>SUM(F11)</f>
        <v>400</v>
      </c>
      <c r="G10" s="177">
        <f t="shared" ref="G10:T10" si="6">SUM(G11)</f>
        <v>0</v>
      </c>
      <c r="H10" s="177">
        <f t="shared" si="6"/>
        <v>400</v>
      </c>
      <c r="I10" s="177"/>
      <c r="J10" s="177">
        <f t="shared" si="6"/>
        <v>0</v>
      </c>
      <c r="K10" s="177">
        <f t="shared" si="6"/>
        <v>400</v>
      </c>
      <c r="L10" s="178"/>
      <c r="M10" s="177">
        <f t="shared" si="6"/>
        <v>-282.7</v>
      </c>
      <c r="N10" s="177">
        <f t="shared" si="6"/>
        <v>117.30000000000001</v>
      </c>
      <c r="O10" s="178" t="s">
        <v>286</v>
      </c>
      <c r="P10" s="177">
        <f t="shared" si="6"/>
        <v>0</v>
      </c>
      <c r="Q10" s="177">
        <f t="shared" si="6"/>
        <v>117.30000000000001</v>
      </c>
      <c r="R10" s="178"/>
      <c r="S10" s="177">
        <f t="shared" si="6"/>
        <v>0</v>
      </c>
      <c r="T10" s="179">
        <f t="shared" si="6"/>
        <v>117.30000000000001</v>
      </c>
      <c r="U10" s="180"/>
    </row>
    <row r="11" spans="1:21" ht="34.5" hidden="1" customHeight="1" outlineLevel="1" x14ac:dyDescent="0.2">
      <c r="A11" s="81"/>
      <c r="B11" s="181" t="s">
        <v>44</v>
      </c>
      <c r="C11" s="182" t="s">
        <v>8</v>
      </c>
      <c r="D11" s="182" t="s">
        <v>10</v>
      </c>
      <c r="E11" s="182" t="s">
        <v>8</v>
      </c>
      <c r="F11" s="183">
        <v>400</v>
      </c>
      <c r="G11" s="183"/>
      <c r="H11" s="183">
        <f>SUM(F11:G11)</f>
        <v>400</v>
      </c>
      <c r="I11" s="183"/>
      <c r="J11" s="183"/>
      <c r="K11" s="183">
        <f>SUM(H11,J11)</f>
        <v>400</v>
      </c>
      <c r="L11" s="184"/>
      <c r="M11" s="183">
        <v>-282.7</v>
      </c>
      <c r="N11" s="183">
        <f>SUM(K11,M11)</f>
        <v>117.30000000000001</v>
      </c>
      <c r="O11" s="184" t="s">
        <v>286</v>
      </c>
      <c r="P11" s="183"/>
      <c r="Q11" s="183">
        <f>SUM(N11,P11)</f>
        <v>117.30000000000001</v>
      </c>
      <c r="R11" s="184"/>
      <c r="S11" s="183"/>
      <c r="T11" s="185">
        <f>SUM(Q11,S11)</f>
        <v>117.30000000000001</v>
      </c>
      <c r="U11" s="186"/>
    </row>
    <row r="12" spans="1:21" s="80" customFormat="1" ht="43.5" customHeight="1" collapsed="1" x14ac:dyDescent="0.2">
      <c r="A12" s="78"/>
      <c r="B12" s="175" t="s">
        <v>45</v>
      </c>
      <c r="C12" s="176" t="s">
        <v>8</v>
      </c>
      <c r="D12" s="176" t="s">
        <v>14</v>
      </c>
      <c r="E12" s="176" t="s">
        <v>3</v>
      </c>
      <c r="F12" s="177">
        <f>SUM(F13:F14)</f>
        <v>34272.300000000003</v>
      </c>
      <c r="G12" s="177">
        <f t="shared" ref="G12:H12" si="7">SUM(G13:G14)</f>
        <v>0</v>
      </c>
      <c r="H12" s="177">
        <f t="shared" si="7"/>
        <v>34272.300000000003</v>
      </c>
      <c r="I12" s="177"/>
      <c r="J12" s="177">
        <f t="shared" ref="J12:K12" si="8">SUM(J13:J14)</f>
        <v>0</v>
      </c>
      <c r="K12" s="177">
        <f t="shared" si="8"/>
        <v>34272.300000000003</v>
      </c>
      <c r="L12" s="178"/>
      <c r="M12" s="177">
        <f t="shared" ref="M12:N12" si="9">SUM(M13:M14)</f>
        <v>0</v>
      </c>
      <c r="N12" s="177">
        <f t="shared" si="9"/>
        <v>34272.300000000003</v>
      </c>
      <c r="O12" s="178"/>
      <c r="P12" s="177">
        <f>SUM(P13:P14)</f>
        <v>1697.6000000000001</v>
      </c>
      <c r="Q12" s="177">
        <f t="shared" ref="Q12" si="10">SUM(Q13:Q14)</f>
        <v>35969.9</v>
      </c>
      <c r="R12" s="178" t="s">
        <v>409</v>
      </c>
      <c r="S12" s="177">
        <f>SUM(S13:S14)</f>
        <v>418.2</v>
      </c>
      <c r="T12" s="179">
        <f t="shared" ref="T12" si="11">SUM(T13:T14)</f>
        <v>36388.1</v>
      </c>
      <c r="U12" s="180" t="s">
        <v>491</v>
      </c>
    </row>
    <row r="13" spans="1:21" ht="67.5" hidden="1" customHeight="1" outlineLevel="1" x14ac:dyDescent="0.2">
      <c r="A13" s="81"/>
      <c r="B13" s="181" t="s">
        <v>46</v>
      </c>
      <c r="C13" s="182" t="s">
        <v>8</v>
      </c>
      <c r="D13" s="182" t="s">
        <v>14</v>
      </c>
      <c r="E13" s="182" t="s">
        <v>8</v>
      </c>
      <c r="F13" s="183">
        <v>33972.300000000003</v>
      </c>
      <c r="G13" s="183"/>
      <c r="H13" s="183">
        <f>SUM(F13:G13)</f>
        <v>33972.300000000003</v>
      </c>
      <c r="I13" s="183"/>
      <c r="J13" s="183"/>
      <c r="K13" s="183">
        <f t="shared" ref="K13:K14" si="12">SUM(H13,J13)</f>
        <v>33972.300000000003</v>
      </c>
      <c r="L13" s="184"/>
      <c r="M13" s="183">
        <v>5</v>
      </c>
      <c r="N13" s="183">
        <f t="shared" ref="N13:N14" si="13">SUM(K13,M13)</f>
        <v>33977.300000000003</v>
      </c>
      <c r="O13" s="184" t="s">
        <v>264</v>
      </c>
      <c r="P13" s="183">
        <f>1245.9+300+151.7</f>
        <v>1697.6000000000001</v>
      </c>
      <c r="Q13" s="183">
        <f t="shared" ref="Q13:Q14" si="14">SUM(N13,P13)</f>
        <v>35674.9</v>
      </c>
      <c r="R13" s="184" t="s">
        <v>411</v>
      </c>
      <c r="S13" s="183">
        <v>418.2</v>
      </c>
      <c r="T13" s="185">
        <f t="shared" ref="T13:T14" si="15">SUM(Q13,S13)</f>
        <v>36093.1</v>
      </c>
      <c r="U13" s="186" t="s">
        <v>491</v>
      </c>
    </row>
    <row r="14" spans="1:21" ht="30.75" hidden="1" customHeight="1" outlineLevel="1" x14ac:dyDescent="0.2">
      <c r="A14" s="81"/>
      <c r="B14" s="181" t="s">
        <v>47</v>
      </c>
      <c r="C14" s="182" t="s">
        <v>8</v>
      </c>
      <c r="D14" s="182" t="s">
        <v>14</v>
      </c>
      <c r="E14" s="182" t="s">
        <v>7</v>
      </c>
      <c r="F14" s="183">
        <v>300</v>
      </c>
      <c r="G14" s="183"/>
      <c r="H14" s="183">
        <f>SUM(F14:G14)</f>
        <v>300</v>
      </c>
      <c r="I14" s="183"/>
      <c r="J14" s="183"/>
      <c r="K14" s="183">
        <f t="shared" si="12"/>
        <v>300</v>
      </c>
      <c r="L14" s="184"/>
      <c r="M14" s="183">
        <v>-5</v>
      </c>
      <c r="N14" s="183">
        <f t="shared" si="13"/>
        <v>295</v>
      </c>
      <c r="O14" s="184" t="s">
        <v>261</v>
      </c>
      <c r="P14" s="183"/>
      <c r="Q14" s="183">
        <f t="shared" si="14"/>
        <v>295</v>
      </c>
      <c r="R14" s="184"/>
      <c r="S14" s="183"/>
      <c r="T14" s="185">
        <f t="shared" si="15"/>
        <v>295</v>
      </c>
      <c r="U14" s="186"/>
    </row>
    <row r="15" spans="1:21" s="77" customFormat="1" ht="104.25" customHeight="1" collapsed="1" x14ac:dyDescent="0.25">
      <c r="A15" s="75"/>
      <c r="B15" s="169" t="s">
        <v>48</v>
      </c>
      <c r="C15" s="170" t="s">
        <v>7</v>
      </c>
      <c r="D15" s="170" t="s">
        <v>3</v>
      </c>
      <c r="E15" s="170" t="s">
        <v>3</v>
      </c>
      <c r="F15" s="171">
        <f>SUM(F16:F19)</f>
        <v>3951</v>
      </c>
      <c r="G15" s="171">
        <f t="shared" ref="G15:H15" si="16">SUM(G16:G19)</f>
        <v>0</v>
      </c>
      <c r="H15" s="171">
        <f t="shared" si="16"/>
        <v>3951</v>
      </c>
      <c r="I15" s="171"/>
      <c r="J15" s="171">
        <f t="shared" ref="J15:K15" si="17">SUM(J16:J19)</f>
        <v>0</v>
      </c>
      <c r="K15" s="171">
        <f t="shared" si="17"/>
        <v>3951</v>
      </c>
      <c r="L15" s="172"/>
      <c r="M15" s="171">
        <f t="shared" ref="M15:N15" si="18">SUM(M16:M19)</f>
        <v>0</v>
      </c>
      <c r="N15" s="171">
        <f t="shared" si="18"/>
        <v>3951</v>
      </c>
      <c r="O15" s="172"/>
      <c r="P15" s="171">
        <f t="shared" ref="P15" si="19">SUM(P16:P19)</f>
        <v>0</v>
      </c>
      <c r="Q15" s="171">
        <f>SUM(Q16:Q19)</f>
        <v>3951</v>
      </c>
      <c r="R15" s="172"/>
      <c r="S15" s="171">
        <f t="shared" ref="S15:T15" si="20">SUM(S16:S19)</f>
        <v>-304.10000000000002</v>
      </c>
      <c r="T15" s="173">
        <f t="shared" si="20"/>
        <v>3646.9</v>
      </c>
      <c r="U15" s="174" t="s">
        <v>484</v>
      </c>
    </row>
    <row r="16" spans="1:21" ht="72.75" hidden="1" customHeight="1" outlineLevel="1" x14ac:dyDescent="0.2">
      <c r="A16" s="81"/>
      <c r="B16" s="181" t="s">
        <v>49</v>
      </c>
      <c r="C16" s="182" t="s">
        <v>7</v>
      </c>
      <c r="D16" s="182" t="s">
        <v>1</v>
      </c>
      <c r="E16" s="182" t="s">
        <v>8</v>
      </c>
      <c r="F16" s="183">
        <v>3525.5</v>
      </c>
      <c r="G16" s="183"/>
      <c r="H16" s="183">
        <f>SUM(F16:G16)</f>
        <v>3525.5</v>
      </c>
      <c r="I16" s="183"/>
      <c r="J16" s="183"/>
      <c r="K16" s="183">
        <f t="shared" ref="K16:K19" si="21">SUM(H16,J16)</f>
        <v>3525.5</v>
      </c>
      <c r="L16" s="184"/>
      <c r="M16" s="183"/>
      <c r="N16" s="183">
        <f t="shared" ref="N16:N19" si="22">SUM(K16,M16)</f>
        <v>3525.5</v>
      </c>
      <c r="O16" s="184"/>
      <c r="P16" s="183"/>
      <c r="Q16" s="183">
        <f t="shared" ref="Q16:Q19" si="23">SUM(N16,P16)</f>
        <v>3525.5</v>
      </c>
      <c r="R16" s="184"/>
      <c r="S16" s="183">
        <f>-270-8.8</f>
        <v>-278.8</v>
      </c>
      <c r="T16" s="185">
        <f t="shared" ref="T16:T19" si="24">SUM(Q16,S16)</f>
        <v>3246.7</v>
      </c>
      <c r="U16" s="186" t="s">
        <v>434</v>
      </c>
    </row>
    <row r="17" spans="1:21" ht="32.25" hidden="1" customHeight="1" outlineLevel="1" x14ac:dyDescent="0.2">
      <c r="A17" s="81"/>
      <c r="B17" s="181" t="s">
        <v>50</v>
      </c>
      <c r="C17" s="182" t="s">
        <v>7</v>
      </c>
      <c r="D17" s="182" t="s">
        <v>1</v>
      </c>
      <c r="E17" s="182" t="s">
        <v>7</v>
      </c>
      <c r="F17" s="183">
        <v>0.5</v>
      </c>
      <c r="G17" s="183"/>
      <c r="H17" s="183">
        <f t="shared" ref="H17:H19" si="25">SUM(F17:G17)</f>
        <v>0.5</v>
      </c>
      <c r="I17" s="183"/>
      <c r="J17" s="183"/>
      <c r="K17" s="183">
        <f t="shared" si="21"/>
        <v>0.5</v>
      </c>
      <c r="L17" s="184"/>
      <c r="M17" s="183"/>
      <c r="N17" s="183">
        <f t="shared" si="22"/>
        <v>0.5</v>
      </c>
      <c r="O17" s="184"/>
      <c r="P17" s="183"/>
      <c r="Q17" s="183">
        <f t="shared" si="23"/>
        <v>0.5</v>
      </c>
      <c r="R17" s="184"/>
      <c r="S17" s="183"/>
      <c r="T17" s="185">
        <f t="shared" si="24"/>
        <v>0.5</v>
      </c>
      <c r="U17" s="186"/>
    </row>
    <row r="18" spans="1:21" ht="31.5" hidden="1" customHeight="1" outlineLevel="1" x14ac:dyDescent="0.2">
      <c r="A18" s="81"/>
      <c r="B18" s="181" t="s">
        <v>51</v>
      </c>
      <c r="C18" s="182" t="s">
        <v>7</v>
      </c>
      <c r="D18" s="182" t="s">
        <v>1</v>
      </c>
      <c r="E18" s="182" t="s">
        <v>13</v>
      </c>
      <c r="F18" s="183">
        <v>400</v>
      </c>
      <c r="G18" s="183"/>
      <c r="H18" s="183">
        <f>SUM(F18:G18)</f>
        <v>400</v>
      </c>
      <c r="I18" s="183"/>
      <c r="J18" s="183"/>
      <c r="K18" s="183">
        <f t="shared" si="21"/>
        <v>400</v>
      </c>
      <c r="L18" s="184"/>
      <c r="M18" s="183"/>
      <c r="N18" s="183">
        <f t="shared" si="22"/>
        <v>400</v>
      </c>
      <c r="O18" s="184"/>
      <c r="P18" s="183"/>
      <c r="Q18" s="183">
        <f t="shared" si="23"/>
        <v>400</v>
      </c>
      <c r="R18" s="184"/>
      <c r="S18" s="183">
        <f>-17.4-4.8</f>
        <v>-22.2</v>
      </c>
      <c r="T18" s="185">
        <f t="shared" si="24"/>
        <v>377.8</v>
      </c>
      <c r="U18" s="186" t="s">
        <v>482</v>
      </c>
    </row>
    <row r="19" spans="1:21" ht="34.5" hidden="1" customHeight="1" outlineLevel="1" x14ac:dyDescent="0.2">
      <c r="A19" s="81"/>
      <c r="B19" s="181" t="s">
        <v>52</v>
      </c>
      <c r="C19" s="182" t="s">
        <v>7</v>
      </c>
      <c r="D19" s="182" t="s">
        <v>1</v>
      </c>
      <c r="E19" s="182" t="s">
        <v>6</v>
      </c>
      <c r="F19" s="183">
        <v>25</v>
      </c>
      <c r="G19" s="183"/>
      <c r="H19" s="183">
        <f t="shared" si="25"/>
        <v>25</v>
      </c>
      <c r="I19" s="183"/>
      <c r="J19" s="183"/>
      <c r="K19" s="183">
        <f t="shared" si="21"/>
        <v>25</v>
      </c>
      <c r="L19" s="184"/>
      <c r="M19" s="183"/>
      <c r="N19" s="183">
        <f t="shared" si="22"/>
        <v>25</v>
      </c>
      <c r="O19" s="184"/>
      <c r="P19" s="183"/>
      <c r="Q19" s="183">
        <f t="shared" si="23"/>
        <v>25</v>
      </c>
      <c r="R19" s="184"/>
      <c r="S19" s="183">
        <v>-3.1</v>
      </c>
      <c r="T19" s="185">
        <f t="shared" si="24"/>
        <v>21.9</v>
      </c>
      <c r="U19" s="186" t="s">
        <v>435</v>
      </c>
    </row>
    <row r="20" spans="1:21" s="77" customFormat="1" ht="45" customHeight="1" collapsed="1" x14ac:dyDescent="0.25">
      <c r="A20" s="75"/>
      <c r="B20" s="169" t="s">
        <v>53</v>
      </c>
      <c r="C20" s="170" t="s">
        <v>13</v>
      </c>
      <c r="D20" s="170" t="s">
        <v>3</v>
      </c>
      <c r="E20" s="170" t="s">
        <v>3</v>
      </c>
      <c r="F20" s="171">
        <f>SUM(F21:G26)</f>
        <v>5123.6999999999989</v>
      </c>
      <c r="G20" s="171">
        <f>SUM(G21:H26)</f>
        <v>5123.6999999999989</v>
      </c>
      <c r="H20" s="171">
        <f>SUM(H21:I26)</f>
        <v>5123.6999999999989</v>
      </c>
      <c r="I20" s="171"/>
      <c r="J20" s="171">
        <f>SUM(J21:J26)</f>
        <v>1.2505552149377763E-12</v>
      </c>
      <c r="K20" s="171">
        <f>SUM(K21:K26)</f>
        <v>5123.7</v>
      </c>
      <c r="L20" s="172"/>
      <c r="M20" s="171">
        <f>SUM(M21:M26)</f>
        <v>0</v>
      </c>
      <c r="N20" s="171">
        <f>SUM(N21:N26)</f>
        <v>5123.7</v>
      </c>
      <c r="O20" s="172"/>
      <c r="P20" s="171">
        <f>SUM(P21:P26)</f>
        <v>0</v>
      </c>
      <c r="Q20" s="171">
        <f>SUM(Q21:Q26)</f>
        <v>5123.7</v>
      </c>
      <c r="R20" s="172"/>
      <c r="S20" s="171">
        <f>SUM(S21:S26)</f>
        <v>0</v>
      </c>
      <c r="T20" s="173">
        <f>SUM(T21:T26)</f>
        <v>5123.7</v>
      </c>
      <c r="U20" s="174"/>
    </row>
    <row r="21" spans="1:21" ht="21.75" hidden="1" customHeight="1" outlineLevel="1" x14ac:dyDescent="0.2">
      <c r="A21" s="81"/>
      <c r="B21" s="181" t="s">
        <v>54</v>
      </c>
      <c r="C21" s="182" t="s">
        <v>13</v>
      </c>
      <c r="D21" s="182" t="s">
        <v>1</v>
      </c>
      <c r="E21" s="182" t="s">
        <v>8</v>
      </c>
      <c r="F21" s="183">
        <v>516.9</v>
      </c>
      <c r="G21" s="183"/>
      <c r="H21" s="183">
        <f>SUM(F21:G21)</f>
        <v>516.9</v>
      </c>
      <c r="I21" s="183"/>
      <c r="J21" s="183">
        <v>-516.9</v>
      </c>
      <c r="K21" s="183">
        <f t="shared" ref="K21:K26" si="26">SUM(H21,J21)</f>
        <v>0</v>
      </c>
      <c r="L21" s="184"/>
      <c r="M21" s="183"/>
      <c r="N21" s="183">
        <f t="shared" ref="N21:N26" si="27">SUM(K21,M21)</f>
        <v>0</v>
      </c>
      <c r="O21" s="184"/>
      <c r="P21" s="183"/>
      <c r="Q21" s="183">
        <f t="shared" ref="Q21:Q26" si="28">SUM(N21,P21)</f>
        <v>0</v>
      </c>
      <c r="R21" s="184"/>
      <c r="S21" s="183"/>
      <c r="T21" s="185">
        <f t="shared" ref="T21:T26" si="29">SUM(Q21,S21)</f>
        <v>0</v>
      </c>
      <c r="U21" s="186"/>
    </row>
    <row r="22" spans="1:21" ht="21.75" hidden="1" customHeight="1" outlineLevel="1" x14ac:dyDescent="0.2">
      <c r="A22" s="81"/>
      <c r="B22" s="181" t="s">
        <v>55</v>
      </c>
      <c r="C22" s="182" t="s">
        <v>13</v>
      </c>
      <c r="D22" s="182" t="s">
        <v>1</v>
      </c>
      <c r="E22" s="182" t="s">
        <v>7</v>
      </c>
      <c r="F22" s="183">
        <v>4425</v>
      </c>
      <c r="G22" s="183"/>
      <c r="H22" s="183">
        <f t="shared" ref="H22:H26" si="30">SUM(F22:G22)</f>
        <v>4425</v>
      </c>
      <c r="I22" s="183"/>
      <c r="J22" s="183">
        <v>-4425</v>
      </c>
      <c r="K22" s="183">
        <f t="shared" si="26"/>
        <v>0</v>
      </c>
      <c r="L22" s="184"/>
      <c r="M22" s="183"/>
      <c r="N22" s="183">
        <f t="shared" si="27"/>
        <v>0</v>
      </c>
      <c r="O22" s="184"/>
      <c r="P22" s="183"/>
      <c r="Q22" s="183">
        <f t="shared" si="28"/>
        <v>0</v>
      </c>
      <c r="R22" s="184"/>
      <c r="S22" s="183"/>
      <c r="T22" s="185">
        <f t="shared" si="29"/>
        <v>0</v>
      </c>
      <c r="U22" s="186"/>
    </row>
    <row r="23" spans="1:21" ht="12.75" hidden="1" customHeight="1" outlineLevel="1" x14ac:dyDescent="0.2">
      <c r="A23" s="81"/>
      <c r="B23" s="181" t="s">
        <v>56</v>
      </c>
      <c r="C23" s="182" t="s">
        <v>13</v>
      </c>
      <c r="D23" s="182" t="s">
        <v>1</v>
      </c>
      <c r="E23" s="182" t="s">
        <v>13</v>
      </c>
      <c r="F23" s="183">
        <v>90.9</v>
      </c>
      <c r="G23" s="183"/>
      <c r="H23" s="183">
        <f t="shared" si="30"/>
        <v>90.9</v>
      </c>
      <c r="I23" s="183"/>
      <c r="J23" s="183">
        <v>-90.9</v>
      </c>
      <c r="K23" s="183">
        <f t="shared" si="26"/>
        <v>0</v>
      </c>
      <c r="L23" s="184"/>
      <c r="M23" s="183"/>
      <c r="N23" s="183">
        <f t="shared" si="27"/>
        <v>0</v>
      </c>
      <c r="O23" s="184"/>
      <c r="P23" s="183"/>
      <c r="Q23" s="183">
        <f t="shared" si="28"/>
        <v>0</v>
      </c>
      <c r="R23" s="184"/>
      <c r="S23" s="183"/>
      <c r="T23" s="185">
        <f t="shared" si="29"/>
        <v>0</v>
      </c>
      <c r="U23" s="186"/>
    </row>
    <row r="24" spans="1:21" ht="12.75" hidden="1" customHeight="1" outlineLevel="1" x14ac:dyDescent="0.2">
      <c r="A24" s="81"/>
      <c r="B24" s="181" t="s">
        <v>57</v>
      </c>
      <c r="C24" s="182" t="s">
        <v>13</v>
      </c>
      <c r="D24" s="182" t="s">
        <v>1</v>
      </c>
      <c r="E24" s="182" t="s">
        <v>6</v>
      </c>
      <c r="F24" s="183">
        <v>90.9</v>
      </c>
      <c r="G24" s="183"/>
      <c r="H24" s="183">
        <f t="shared" si="30"/>
        <v>90.9</v>
      </c>
      <c r="I24" s="183"/>
      <c r="J24" s="183">
        <v>-90.9</v>
      </c>
      <c r="K24" s="183">
        <f t="shared" si="26"/>
        <v>0</v>
      </c>
      <c r="L24" s="184"/>
      <c r="M24" s="183"/>
      <c r="N24" s="183">
        <f t="shared" si="27"/>
        <v>0</v>
      </c>
      <c r="O24" s="184"/>
      <c r="P24" s="183"/>
      <c r="Q24" s="183">
        <f t="shared" si="28"/>
        <v>0</v>
      </c>
      <c r="R24" s="184"/>
      <c r="S24" s="183"/>
      <c r="T24" s="185">
        <f t="shared" si="29"/>
        <v>0</v>
      </c>
      <c r="U24" s="186"/>
    </row>
    <row r="25" spans="1:21" ht="42.75" hidden="1" outlineLevel="1" x14ac:dyDescent="0.2">
      <c r="A25" s="81"/>
      <c r="B25" s="181" t="s">
        <v>236</v>
      </c>
      <c r="C25" s="182" t="s">
        <v>13</v>
      </c>
      <c r="D25" s="182" t="s">
        <v>1</v>
      </c>
      <c r="E25" s="182" t="s">
        <v>237</v>
      </c>
      <c r="F25" s="183">
        <v>0</v>
      </c>
      <c r="G25" s="183"/>
      <c r="H25" s="183">
        <f t="shared" si="30"/>
        <v>0</v>
      </c>
      <c r="I25" s="183"/>
      <c r="J25" s="183">
        <v>4511.8</v>
      </c>
      <c r="K25" s="183">
        <f t="shared" si="26"/>
        <v>4511.8</v>
      </c>
      <c r="L25" s="184"/>
      <c r="M25" s="183"/>
      <c r="N25" s="183">
        <f t="shared" si="27"/>
        <v>4511.8</v>
      </c>
      <c r="O25" s="184"/>
      <c r="P25" s="183"/>
      <c r="Q25" s="183">
        <f t="shared" si="28"/>
        <v>4511.8</v>
      </c>
      <c r="R25" s="184"/>
      <c r="S25" s="183"/>
      <c r="T25" s="185">
        <f t="shared" si="29"/>
        <v>4511.8</v>
      </c>
      <c r="U25" s="186"/>
    </row>
    <row r="26" spans="1:21" ht="12.75" hidden="1" customHeight="1" outlineLevel="1" x14ac:dyDescent="0.2">
      <c r="A26" s="81"/>
      <c r="B26" s="181" t="s">
        <v>239</v>
      </c>
      <c r="C26" s="182" t="s">
        <v>13</v>
      </c>
      <c r="D26" s="182" t="s">
        <v>1</v>
      </c>
      <c r="E26" s="182" t="s">
        <v>238</v>
      </c>
      <c r="F26" s="183">
        <v>0</v>
      </c>
      <c r="G26" s="183"/>
      <c r="H26" s="183">
        <f t="shared" si="30"/>
        <v>0</v>
      </c>
      <c r="I26" s="183"/>
      <c r="J26" s="183">
        <v>611.9</v>
      </c>
      <c r="K26" s="183">
        <f t="shared" si="26"/>
        <v>611.9</v>
      </c>
      <c r="L26" s="184"/>
      <c r="M26" s="183"/>
      <c r="N26" s="183">
        <f t="shared" si="27"/>
        <v>611.9</v>
      </c>
      <c r="O26" s="184"/>
      <c r="P26" s="183"/>
      <c r="Q26" s="183">
        <f t="shared" si="28"/>
        <v>611.9</v>
      </c>
      <c r="R26" s="184"/>
      <c r="S26" s="183"/>
      <c r="T26" s="185">
        <f t="shared" si="29"/>
        <v>611.9</v>
      </c>
      <c r="U26" s="186"/>
    </row>
    <row r="27" spans="1:21" s="77" customFormat="1" ht="48.75" customHeight="1" collapsed="1" x14ac:dyDescent="0.25">
      <c r="A27" s="75"/>
      <c r="B27" s="169" t="s">
        <v>58</v>
      </c>
      <c r="C27" s="170" t="s">
        <v>6</v>
      </c>
      <c r="D27" s="170" t="s">
        <v>3</v>
      </c>
      <c r="E27" s="170" t="s">
        <v>3</v>
      </c>
      <c r="F27" s="171">
        <f>SUM(F28)</f>
        <v>400</v>
      </c>
      <c r="G27" s="171">
        <f t="shared" ref="G27:K27" si="31">SUM(G28)</f>
        <v>0</v>
      </c>
      <c r="H27" s="171">
        <f t="shared" si="31"/>
        <v>400</v>
      </c>
      <c r="I27" s="171"/>
      <c r="J27" s="171">
        <f t="shared" si="31"/>
        <v>0</v>
      </c>
      <c r="K27" s="171">
        <f t="shared" si="31"/>
        <v>400</v>
      </c>
      <c r="L27" s="172"/>
      <c r="M27" s="171">
        <f>SUM(M28:M29)</f>
        <v>0</v>
      </c>
      <c r="N27" s="171">
        <f>SUM(N28:N29)</f>
        <v>400</v>
      </c>
      <c r="O27" s="187"/>
      <c r="P27" s="171">
        <f>SUM(P28:P29)</f>
        <v>20.3</v>
      </c>
      <c r="Q27" s="171">
        <f>SUM(Q28:Q29)</f>
        <v>420.3</v>
      </c>
      <c r="R27" s="187" t="s">
        <v>397</v>
      </c>
      <c r="S27" s="171">
        <f>SUM(S28:S29)</f>
        <v>0</v>
      </c>
      <c r="T27" s="173">
        <f>SUM(T28:T29)</f>
        <v>420.3</v>
      </c>
      <c r="U27" s="174"/>
    </row>
    <row r="28" spans="1:21" ht="12.75" hidden="1" customHeight="1" outlineLevel="1" x14ac:dyDescent="0.2">
      <c r="A28" s="81"/>
      <c r="B28" s="181" t="s">
        <v>328</v>
      </c>
      <c r="C28" s="182" t="s">
        <v>6</v>
      </c>
      <c r="D28" s="182" t="s">
        <v>1</v>
      </c>
      <c r="E28" s="182" t="s">
        <v>8</v>
      </c>
      <c r="F28" s="183">
        <v>400</v>
      </c>
      <c r="G28" s="183"/>
      <c r="H28" s="183">
        <f>SUM(F28:G28)</f>
        <v>400</v>
      </c>
      <c r="I28" s="183"/>
      <c r="J28" s="183"/>
      <c r="K28" s="183">
        <f>SUM(H28,J28)</f>
        <v>400</v>
      </c>
      <c r="L28" s="184"/>
      <c r="M28" s="183"/>
      <c r="N28" s="183">
        <f>SUM(K28,M28)</f>
        <v>400</v>
      </c>
      <c r="O28" s="184"/>
      <c r="P28" s="183"/>
      <c r="Q28" s="183">
        <f>SUM(N28,P28)</f>
        <v>400</v>
      </c>
      <c r="R28" s="184"/>
      <c r="S28" s="183"/>
      <c r="T28" s="185">
        <f>SUM(Q28,S28)</f>
        <v>400</v>
      </c>
      <c r="U28" s="186"/>
    </row>
    <row r="29" spans="1:21" ht="51.75" hidden="1" customHeight="1" outlineLevel="1" x14ac:dyDescent="0.2">
      <c r="A29" s="81"/>
      <c r="B29" s="181" t="s">
        <v>329</v>
      </c>
      <c r="C29" s="182">
        <v>4</v>
      </c>
      <c r="D29" s="182">
        <v>0</v>
      </c>
      <c r="E29" s="182">
        <v>2</v>
      </c>
      <c r="F29" s="183"/>
      <c r="G29" s="183"/>
      <c r="H29" s="183"/>
      <c r="I29" s="183"/>
      <c r="J29" s="183"/>
      <c r="K29" s="183"/>
      <c r="L29" s="184"/>
      <c r="M29" s="183"/>
      <c r="N29" s="183">
        <f>SUM(K29,M29)</f>
        <v>0</v>
      </c>
      <c r="O29" s="184"/>
      <c r="P29" s="183">
        <v>20.3</v>
      </c>
      <c r="Q29" s="183">
        <f>SUM(N29,P29)</f>
        <v>20.3</v>
      </c>
      <c r="R29" s="184" t="s">
        <v>374</v>
      </c>
      <c r="S29" s="183"/>
      <c r="T29" s="185">
        <f>SUM(Q29,S29)</f>
        <v>20.3</v>
      </c>
      <c r="U29" s="186"/>
    </row>
    <row r="30" spans="1:21" s="77" customFormat="1" ht="52.5" customHeight="1" collapsed="1" x14ac:dyDescent="0.25">
      <c r="A30" s="75"/>
      <c r="B30" s="169" t="s">
        <v>59</v>
      </c>
      <c r="C30" s="170" t="s">
        <v>5</v>
      </c>
      <c r="D30" s="170" t="s">
        <v>3</v>
      </c>
      <c r="E30" s="170" t="s">
        <v>3</v>
      </c>
      <c r="F30" s="171">
        <f>SUM(F31,F33)</f>
        <v>35967.300000000003</v>
      </c>
      <c r="G30" s="171">
        <f t="shared" ref="G30:H30" si="32">SUM(G31,G33)</f>
        <v>0</v>
      </c>
      <c r="H30" s="171">
        <f t="shared" si="32"/>
        <v>35967.300000000003</v>
      </c>
      <c r="I30" s="171"/>
      <c r="J30" s="171">
        <f t="shared" ref="J30:K30" si="33">SUM(J31,J33)</f>
        <v>0</v>
      </c>
      <c r="K30" s="171">
        <f t="shared" si="33"/>
        <v>35967.300000000003</v>
      </c>
      <c r="L30" s="172"/>
      <c r="M30" s="171">
        <f t="shared" ref="M30:N30" si="34">SUM(M31,M33)</f>
        <v>0</v>
      </c>
      <c r="N30" s="171">
        <f t="shared" si="34"/>
        <v>35967.300000000003</v>
      </c>
      <c r="O30" s="172"/>
      <c r="P30" s="171">
        <f t="shared" ref="P30:Q30" si="35">SUM(P31,P33)</f>
        <v>2704.3</v>
      </c>
      <c r="Q30" s="171">
        <f t="shared" si="35"/>
        <v>38671.599999999999</v>
      </c>
      <c r="R30" s="172"/>
      <c r="S30" s="171">
        <f t="shared" ref="S30:T30" si="36">SUM(S31,S33)</f>
        <v>-495.9</v>
      </c>
      <c r="T30" s="173">
        <f t="shared" si="36"/>
        <v>38175.699999999997</v>
      </c>
      <c r="U30" s="174"/>
    </row>
    <row r="31" spans="1:21" s="80" customFormat="1" ht="70.5" customHeight="1" x14ac:dyDescent="0.2">
      <c r="A31" s="78"/>
      <c r="B31" s="175" t="s">
        <v>60</v>
      </c>
      <c r="C31" s="176" t="s">
        <v>5</v>
      </c>
      <c r="D31" s="176" t="s">
        <v>12</v>
      </c>
      <c r="E31" s="176" t="s">
        <v>3</v>
      </c>
      <c r="F31" s="177">
        <f>SUM(F32)</f>
        <v>31790.3</v>
      </c>
      <c r="G31" s="177">
        <f t="shared" ref="G31:T31" si="37">SUM(G32)</f>
        <v>0</v>
      </c>
      <c r="H31" s="177">
        <f t="shared" si="37"/>
        <v>31790.3</v>
      </c>
      <c r="I31" s="177"/>
      <c r="J31" s="177">
        <f t="shared" si="37"/>
        <v>0</v>
      </c>
      <c r="K31" s="177">
        <f t="shared" si="37"/>
        <v>31790.3</v>
      </c>
      <c r="L31" s="178"/>
      <c r="M31" s="177">
        <f t="shared" si="37"/>
        <v>0</v>
      </c>
      <c r="N31" s="177">
        <f t="shared" si="37"/>
        <v>31790.3</v>
      </c>
      <c r="O31" s="178"/>
      <c r="P31" s="177">
        <f t="shared" si="37"/>
        <v>2704.3</v>
      </c>
      <c r="Q31" s="177">
        <f t="shared" si="37"/>
        <v>34494.6</v>
      </c>
      <c r="R31" s="178" t="s">
        <v>375</v>
      </c>
      <c r="S31" s="177">
        <f t="shared" si="37"/>
        <v>-170.9</v>
      </c>
      <c r="T31" s="179">
        <f t="shared" si="37"/>
        <v>34323.699999999997</v>
      </c>
      <c r="U31" s="180" t="s">
        <v>483</v>
      </c>
    </row>
    <row r="32" spans="1:21" ht="45.75" hidden="1" customHeight="1" outlineLevel="1" x14ac:dyDescent="0.2">
      <c r="A32" s="81"/>
      <c r="B32" s="181" t="s">
        <v>61</v>
      </c>
      <c r="C32" s="182" t="s">
        <v>5</v>
      </c>
      <c r="D32" s="182" t="s">
        <v>12</v>
      </c>
      <c r="E32" s="182" t="s">
        <v>8</v>
      </c>
      <c r="F32" s="183">
        <v>31790.3</v>
      </c>
      <c r="G32" s="183"/>
      <c r="H32" s="183">
        <f>SUM(F32:G32)</f>
        <v>31790.3</v>
      </c>
      <c r="I32" s="183"/>
      <c r="J32" s="183"/>
      <c r="K32" s="183">
        <f>SUM(H32,J32)</f>
        <v>31790.3</v>
      </c>
      <c r="L32" s="184"/>
      <c r="M32" s="183"/>
      <c r="N32" s="183">
        <f>SUM(K32,M32)</f>
        <v>31790.3</v>
      </c>
      <c r="O32" s="184"/>
      <c r="P32" s="183">
        <v>2704.3</v>
      </c>
      <c r="Q32" s="183">
        <f>SUM(N32,P32)</f>
        <v>34494.6</v>
      </c>
      <c r="R32" s="184" t="s">
        <v>368</v>
      </c>
      <c r="S32" s="183">
        <f>-170.9</f>
        <v>-170.9</v>
      </c>
      <c r="T32" s="185">
        <f>SUM(Q32,S32)</f>
        <v>34323.699999999997</v>
      </c>
      <c r="U32" s="186" t="s">
        <v>483</v>
      </c>
    </row>
    <row r="33" spans="1:21" s="80" customFormat="1" ht="34.5" customHeight="1" collapsed="1" x14ac:dyDescent="0.2">
      <c r="A33" s="78"/>
      <c r="B33" s="175" t="s">
        <v>62</v>
      </c>
      <c r="C33" s="176" t="s">
        <v>5</v>
      </c>
      <c r="D33" s="176" t="s">
        <v>10</v>
      </c>
      <c r="E33" s="176" t="s">
        <v>3</v>
      </c>
      <c r="F33" s="177">
        <f>SUM(F34)</f>
        <v>4177</v>
      </c>
      <c r="G33" s="177">
        <f t="shared" ref="G33:T33" si="38">SUM(G34)</f>
        <v>0</v>
      </c>
      <c r="H33" s="177">
        <f t="shared" si="38"/>
        <v>4177</v>
      </c>
      <c r="I33" s="177"/>
      <c r="J33" s="177">
        <f t="shared" si="38"/>
        <v>0</v>
      </c>
      <c r="K33" s="177">
        <f t="shared" si="38"/>
        <v>4177</v>
      </c>
      <c r="L33" s="178"/>
      <c r="M33" s="177">
        <f t="shared" si="38"/>
        <v>0</v>
      </c>
      <c r="N33" s="177">
        <f t="shared" si="38"/>
        <v>4177</v>
      </c>
      <c r="O33" s="178"/>
      <c r="P33" s="177">
        <f t="shared" si="38"/>
        <v>0</v>
      </c>
      <c r="Q33" s="177">
        <f t="shared" si="38"/>
        <v>4177</v>
      </c>
      <c r="R33" s="178"/>
      <c r="S33" s="177">
        <f t="shared" si="38"/>
        <v>-325</v>
      </c>
      <c r="T33" s="179">
        <f t="shared" si="38"/>
        <v>3852</v>
      </c>
      <c r="U33" s="180" t="s">
        <v>436</v>
      </c>
    </row>
    <row r="34" spans="1:21" ht="27.75" hidden="1" customHeight="1" outlineLevel="1" x14ac:dyDescent="0.2">
      <c r="A34" s="81"/>
      <c r="B34" s="181" t="s">
        <v>63</v>
      </c>
      <c r="C34" s="182" t="s">
        <v>5</v>
      </c>
      <c r="D34" s="182" t="s">
        <v>10</v>
      </c>
      <c r="E34" s="182" t="s">
        <v>8</v>
      </c>
      <c r="F34" s="183">
        <v>4177</v>
      </c>
      <c r="G34" s="183"/>
      <c r="H34" s="183">
        <f>SUM(F34:G34)</f>
        <v>4177</v>
      </c>
      <c r="I34" s="183"/>
      <c r="J34" s="183"/>
      <c r="K34" s="183">
        <f>SUM(H34,J34)</f>
        <v>4177</v>
      </c>
      <c r="L34" s="184"/>
      <c r="M34" s="183"/>
      <c r="N34" s="183">
        <f>SUM(K34,M34)</f>
        <v>4177</v>
      </c>
      <c r="O34" s="184"/>
      <c r="P34" s="183"/>
      <c r="Q34" s="183">
        <f>SUM(N34,P34)</f>
        <v>4177</v>
      </c>
      <c r="R34" s="184"/>
      <c r="S34" s="183">
        <v>-325</v>
      </c>
      <c r="T34" s="185">
        <f>SUM(Q34,S34)</f>
        <v>3852</v>
      </c>
      <c r="U34" s="186" t="s">
        <v>436</v>
      </c>
    </row>
    <row r="35" spans="1:21" s="77" customFormat="1" ht="34.5" customHeight="1" collapsed="1" x14ac:dyDescent="0.25">
      <c r="A35" s="75"/>
      <c r="B35" s="169" t="s">
        <v>64</v>
      </c>
      <c r="C35" s="170" t="s">
        <v>4</v>
      </c>
      <c r="D35" s="170" t="s">
        <v>3</v>
      </c>
      <c r="E35" s="170" t="s">
        <v>3</v>
      </c>
      <c r="F35" s="171">
        <f>SUM(F36,F40,F44)</f>
        <v>415648</v>
      </c>
      <c r="G35" s="171">
        <f t="shared" ref="G35:H35" si="39">SUM(G36,G40,G44)</f>
        <v>117.2</v>
      </c>
      <c r="H35" s="171">
        <f t="shared" si="39"/>
        <v>415765.2</v>
      </c>
      <c r="I35" s="171"/>
      <c r="J35" s="171">
        <f t="shared" ref="J35:K35" si="40">SUM(J36,J40,J44)</f>
        <v>15574.8</v>
      </c>
      <c r="K35" s="171">
        <f t="shared" si="40"/>
        <v>431340</v>
      </c>
      <c r="L35" s="172"/>
      <c r="M35" s="171">
        <f>SUM(M36,M40,M44)</f>
        <v>2224.1999999999998</v>
      </c>
      <c r="N35" s="171">
        <f t="shared" ref="N35" si="41">SUM(N36,N40,N44)</f>
        <v>433564.2</v>
      </c>
      <c r="O35" s="172"/>
      <c r="P35" s="171">
        <f>SUM(P36,P40,P44)</f>
        <v>2180.2999999999993</v>
      </c>
      <c r="Q35" s="171">
        <f t="shared" ref="Q35" si="42">SUM(Q36,Q40,Q44)</f>
        <v>435744.5</v>
      </c>
      <c r="R35" s="172"/>
      <c r="S35" s="171">
        <f>SUM(S36,S40,S44)</f>
        <v>-491.5</v>
      </c>
      <c r="T35" s="173">
        <f>SUM(T36,T40,T44)</f>
        <v>435253</v>
      </c>
      <c r="U35" s="174"/>
    </row>
    <row r="36" spans="1:21" s="80" customFormat="1" ht="81.75" customHeight="1" x14ac:dyDescent="0.2">
      <c r="A36" s="78"/>
      <c r="B36" s="175" t="s">
        <v>65</v>
      </c>
      <c r="C36" s="176" t="s">
        <v>4</v>
      </c>
      <c r="D36" s="176" t="s">
        <v>12</v>
      </c>
      <c r="E36" s="176" t="s">
        <v>3</v>
      </c>
      <c r="F36" s="177">
        <f>SUM(F37:F39)</f>
        <v>8570.2000000000007</v>
      </c>
      <c r="G36" s="177">
        <f t="shared" ref="G36:H36" si="43">SUM(G37:G39)</f>
        <v>117.2</v>
      </c>
      <c r="H36" s="177">
        <f t="shared" si="43"/>
        <v>8687.4</v>
      </c>
      <c r="I36" s="178" t="s">
        <v>254</v>
      </c>
      <c r="J36" s="177">
        <f t="shared" ref="J36:K36" si="44">SUM(J37:J39)</f>
        <v>12326.8</v>
      </c>
      <c r="K36" s="177">
        <f t="shared" si="44"/>
        <v>21014.199999999997</v>
      </c>
      <c r="L36" s="178" t="s">
        <v>244</v>
      </c>
      <c r="M36" s="177">
        <f t="shared" ref="M36:N36" si="45">SUM(M37:M39)</f>
        <v>121.00000000000001</v>
      </c>
      <c r="N36" s="177">
        <f t="shared" si="45"/>
        <v>21135.199999999997</v>
      </c>
      <c r="O36" s="178" t="s">
        <v>312</v>
      </c>
      <c r="P36" s="177">
        <f t="shared" ref="P36" si="46">SUM(P37:P39)</f>
        <v>826.5</v>
      </c>
      <c r="Q36" s="177">
        <f>SUM(Q37:Q39)</f>
        <v>21961.699999999997</v>
      </c>
      <c r="R36" s="178" t="s">
        <v>415</v>
      </c>
      <c r="S36" s="177">
        <f t="shared" ref="S36:T36" si="47">SUM(S37:S39)</f>
        <v>0</v>
      </c>
      <c r="T36" s="179">
        <f t="shared" si="47"/>
        <v>21961.699999999997</v>
      </c>
      <c r="U36" s="180"/>
    </row>
    <row r="37" spans="1:21" ht="44.25" hidden="1" customHeight="1" outlineLevel="1" x14ac:dyDescent="0.2">
      <c r="A37" s="81"/>
      <c r="B37" s="181" t="s">
        <v>66</v>
      </c>
      <c r="C37" s="182" t="s">
        <v>4</v>
      </c>
      <c r="D37" s="182" t="s">
        <v>12</v>
      </c>
      <c r="E37" s="182" t="s">
        <v>8</v>
      </c>
      <c r="F37" s="183">
        <v>500</v>
      </c>
      <c r="G37" s="183">
        <f>17.2+105.8</f>
        <v>123</v>
      </c>
      <c r="H37" s="183">
        <f>SUM(F37:G37)</f>
        <v>623</v>
      </c>
      <c r="I37" s="184" t="s">
        <v>255</v>
      </c>
      <c r="J37" s="183">
        <f>3+453.2</f>
        <v>456.2</v>
      </c>
      <c r="K37" s="183">
        <f t="shared" ref="K37:K39" si="48">SUM(H37,J37)</f>
        <v>1079.2</v>
      </c>
      <c r="L37" s="184" t="s">
        <v>203</v>
      </c>
      <c r="M37" s="183">
        <f>-10.8</f>
        <v>-10.8</v>
      </c>
      <c r="N37" s="183">
        <f t="shared" ref="N37:N39" si="49">SUM(K37,M37)</f>
        <v>1068.4000000000001</v>
      </c>
      <c r="O37" s="184" t="s">
        <v>279</v>
      </c>
      <c r="P37" s="183">
        <v>-1.8</v>
      </c>
      <c r="Q37" s="183">
        <f t="shared" ref="Q37:Q39" si="50">SUM(N37,P37)</f>
        <v>1066.6000000000001</v>
      </c>
      <c r="R37" s="184" t="s">
        <v>339</v>
      </c>
      <c r="S37" s="183"/>
      <c r="T37" s="185">
        <f t="shared" ref="T37:T39" si="51">SUM(Q37,S37)</f>
        <v>1066.6000000000001</v>
      </c>
      <c r="U37" s="186"/>
    </row>
    <row r="38" spans="1:21" ht="235.5" hidden="1" customHeight="1" outlineLevel="1" x14ac:dyDescent="0.2">
      <c r="A38" s="81"/>
      <c r="B38" s="181" t="s">
        <v>67</v>
      </c>
      <c r="C38" s="182" t="s">
        <v>4</v>
      </c>
      <c r="D38" s="182" t="s">
        <v>12</v>
      </c>
      <c r="E38" s="182" t="s">
        <v>13</v>
      </c>
      <c r="F38" s="183">
        <v>5615</v>
      </c>
      <c r="G38" s="183">
        <f>100</f>
        <v>100</v>
      </c>
      <c r="H38" s="183">
        <f t="shared" ref="H38:H39" si="52">SUM(F38:G38)</f>
        <v>5715</v>
      </c>
      <c r="I38" s="184" t="s">
        <v>183</v>
      </c>
      <c r="J38" s="183"/>
      <c r="K38" s="183">
        <f t="shared" si="48"/>
        <v>5715</v>
      </c>
      <c r="L38" s="184"/>
      <c r="M38" s="183">
        <f>50+200-123.2+5</f>
        <v>131.80000000000001</v>
      </c>
      <c r="N38" s="183">
        <f t="shared" si="49"/>
        <v>5846.8</v>
      </c>
      <c r="O38" s="184" t="s">
        <v>290</v>
      </c>
      <c r="P38" s="183">
        <f>859-34.2-164.5+168</f>
        <v>828.3</v>
      </c>
      <c r="Q38" s="183">
        <f>SUM(N38,P38)</f>
        <v>6675.1</v>
      </c>
      <c r="R38" s="184" t="s">
        <v>414</v>
      </c>
      <c r="S38" s="183"/>
      <c r="T38" s="185">
        <f t="shared" si="51"/>
        <v>6675.1</v>
      </c>
      <c r="U38" s="186"/>
    </row>
    <row r="39" spans="1:21" ht="16.5" hidden="1" customHeight="1" outlineLevel="1" x14ac:dyDescent="0.2">
      <c r="A39" s="81"/>
      <c r="B39" s="181" t="s">
        <v>343</v>
      </c>
      <c r="C39" s="182" t="s">
        <v>4</v>
      </c>
      <c r="D39" s="182" t="s">
        <v>12</v>
      </c>
      <c r="E39" s="182" t="s">
        <v>31</v>
      </c>
      <c r="F39" s="183">
        <v>2455.1999999999998</v>
      </c>
      <c r="G39" s="183">
        <v>-105.8</v>
      </c>
      <c r="H39" s="183">
        <f t="shared" si="52"/>
        <v>2349.3999999999996</v>
      </c>
      <c r="I39" s="184" t="s">
        <v>186</v>
      </c>
      <c r="J39" s="183">
        <f>12323.8-453.2</f>
        <v>11870.599999999999</v>
      </c>
      <c r="K39" s="183">
        <f t="shared" si="48"/>
        <v>14219.999999999998</v>
      </c>
      <c r="L39" s="184" t="s">
        <v>243</v>
      </c>
      <c r="M39" s="183"/>
      <c r="N39" s="183">
        <f t="shared" si="49"/>
        <v>14219.999999999998</v>
      </c>
      <c r="O39" s="184"/>
      <c r="P39" s="183"/>
      <c r="Q39" s="183">
        <f t="shared" si="50"/>
        <v>14219.999999999998</v>
      </c>
      <c r="R39" s="184"/>
      <c r="S39" s="183"/>
      <c r="T39" s="185">
        <f t="shared" si="51"/>
        <v>14219.999999999998</v>
      </c>
      <c r="U39" s="186"/>
    </row>
    <row r="40" spans="1:21" s="80" customFormat="1" ht="139.5" customHeight="1" collapsed="1" x14ac:dyDescent="0.2">
      <c r="A40" s="78"/>
      <c r="B40" s="175" t="s">
        <v>68</v>
      </c>
      <c r="C40" s="176" t="s">
        <v>4</v>
      </c>
      <c r="D40" s="176" t="s">
        <v>10</v>
      </c>
      <c r="E40" s="176" t="s">
        <v>3</v>
      </c>
      <c r="F40" s="177">
        <f>SUM(F41:F43)</f>
        <v>5225</v>
      </c>
      <c r="G40" s="177">
        <f t="shared" ref="G40:H40" si="53">SUM(G41:G43)</f>
        <v>0</v>
      </c>
      <c r="H40" s="177">
        <f t="shared" si="53"/>
        <v>5225</v>
      </c>
      <c r="I40" s="177"/>
      <c r="J40" s="177">
        <f t="shared" ref="J40:K40" si="54">SUM(J41:J43)</f>
        <v>0</v>
      </c>
      <c r="K40" s="177">
        <f t="shared" si="54"/>
        <v>5225</v>
      </c>
      <c r="L40" s="178"/>
      <c r="M40" s="177">
        <f t="shared" ref="M40:N40" si="55">SUM(M41:M43)</f>
        <v>1980</v>
      </c>
      <c r="N40" s="177">
        <f t="shared" si="55"/>
        <v>7205</v>
      </c>
      <c r="O40" s="178" t="s">
        <v>320</v>
      </c>
      <c r="P40" s="177">
        <f t="shared" ref="P40:Q40" si="56">SUM(P41:P43)</f>
        <v>-1027.0999999999999</v>
      </c>
      <c r="Q40" s="177">
        <f t="shared" si="56"/>
        <v>6177.9</v>
      </c>
      <c r="R40" s="178" t="s">
        <v>361</v>
      </c>
      <c r="S40" s="177">
        <f t="shared" ref="S40:T40" si="57">SUM(S41:S43)</f>
        <v>-3</v>
      </c>
      <c r="T40" s="179">
        <f t="shared" si="57"/>
        <v>6174.9</v>
      </c>
      <c r="U40" s="180" t="s">
        <v>467</v>
      </c>
    </row>
    <row r="41" spans="1:21" ht="35.25" hidden="1" customHeight="1" outlineLevel="1" x14ac:dyDescent="0.2">
      <c r="A41" s="81"/>
      <c r="B41" s="181" t="s">
        <v>69</v>
      </c>
      <c r="C41" s="182" t="s">
        <v>4</v>
      </c>
      <c r="D41" s="182" t="s">
        <v>10</v>
      </c>
      <c r="E41" s="182" t="s">
        <v>8</v>
      </c>
      <c r="F41" s="183">
        <v>250</v>
      </c>
      <c r="G41" s="183"/>
      <c r="H41" s="183">
        <f>SUM(F41:G41)</f>
        <v>250</v>
      </c>
      <c r="I41" s="183"/>
      <c r="J41" s="183"/>
      <c r="K41" s="183">
        <f t="shared" ref="K41:K43" si="58">SUM(H41,J41)</f>
        <v>250</v>
      </c>
      <c r="L41" s="184"/>
      <c r="M41" s="183"/>
      <c r="N41" s="183">
        <f t="shared" ref="N41:N43" si="59">SUM(K41,M41)</f>
        <v>250</v>
      </c>
      <c r="O41" s="184"/>
      <c r="P41" s="183"/>
      <c r="Q41" s="183">
        <f t="shared" ref="Q41:Q43" si="60">SUM(N41,P41)</f>
        <v>250</v>
      </c>
      <c r="R41" s="184"/>
      <c r="S41" s="183">
        <f>-30</f>
        <v>-30</v>
      </c>
      <c r="T41" s="185">
        <f t="shared" ref="T41:T43" si="61">SUM(Q41,S41)</f>
        <v>220</v>
      </c>
      <c r="U41" s="186" t="s">
        <v>426</v>
      </c>
    </row>
    <row r="42" spans="1:21" ht="97.5" hidden="1" customHeight="1" outlineLevel="1" x14ac:dyDescent="0.2">
      <c r="A42" s="81"/>
      <c r="B42" s="181" t="s">
        <v>70</v>
      </c>
      <c r="C42" s="182" t="s">
        <v>4</v>
      </c>
      <c r="D42" s="182" t="s">
        <v>10</v>
      </c>
      <c r="E42" s="182" t="s">
        <v>13</v>
      </c>
      <c r="F42" s="183">
        <v>4635</v>
      </c>
      <c r="G42" s="183"/>
      <c r="H42" s="183">
        <f t="shared" ref="H42:H43" si="62">SUM(F42:G42)</f>
        <v>4635</v>
      </c>
      <c r="I42" s="183"/>
      <c r="J42" s="183"/>
      <c r="K42" s="183">
        <f t="shared" si="58"/>
        <v>4635</v>
      </c>
      <c r="L42" s="184"/>
      <c r="M42" s="183">
        <f>435+1050+500-200-5+200</f>
        <v>1980</v>
      </c>
      <c r="N42" s="183">
        <f t="shared" si="59"/>
        <v>6615</v>
      </c>
      <c r="O42" s="184" t="s">
        <v>321</v>
      </c>
      <c r="P42" s="183">
        <v>-1027.0999999999999</v>
      </c>
      <c r="Q42" s="183">
        <f t="shared" si="60"/>
        <v>5587.9</v>
      </c>
      <c r="R42" s="184" t="s">
        <v>361</v>
      </c>
      <c r="S42" s="183">
        <f>-66.4+93.4</f>
        <v>27</v>
      </c>
      <c r="T42" s="185">
        <f t="shared" si="61"/>
        <v>5614.9</v>
      </c>
      <c r="U42" s="186" t="s">
        <v>466</v>
      </c>
    </row>
    <row r="43" spans="1:21" ht="10.5" hidden="1" customHeight="1" outlineLevel="1" x14ac:dyDescent="0.2">
      <c r="A43" s="81"/>
      <c r="B43" s="181" t="s">
        <v>71</v>
      </c>
      <c r="C43" s="182" t="s">
        <v>4</v>
      </c>
      <c r="D43" s="182" t="s">
        <v>10</v>
      </c>
      <c r="E43" s="182" t="s">
        <v>6</v>
      </c>
      <c r="F43" s="183">
        <v>340</v>
      </c>
      <c r="G43" s="183"/>
      <c r="H43" s="183">
        <f t="shared" si="62"/>
        <v>340</v>
      </c>
      <c r="I43" s="183"/>
      <c r="J43" s="183"/>
      <c r="K43" s="183">
        <f t="shared" si="58"/>
        <v>340</v>
      </c>
      <c r="L43" s="184"/>
      <c r="M43" s="183"/>
      <c r="N43" s="183">
        <f t="shared" si="59"/>
        <v>340</v>
      </c>
      <c r="O43" s="184"/>
      <c r="P43" s="183"/>
      <c r="Q43" s="183">
        <f t="shared" si="60"/>
        <v>340</v>
      </c>
      <c r="R43" s="184"/>
      <c r="S43" s="183"/>
      <c r="T43" s="185">
        <f t="shared" si="61"/>
        <v>340</v>
      </c>
      <c r="U43" s="186"/>
    </row>
    <row r="44" spans="1:21" s="80" customFormat="1" ht="60.75" customHeight="1" collapsed="1" x14ac:dyDescent="0.2">
      <c r="A44" s="78"/>
      <c r="B44" s="175" t="s">
        <v>72</v>
      </c>
      <c r="C44" s="176" t="s">
        <v>4</v>
      </c>
      <c r="D44" s="176" t="s">
        <v>14</v>
      </c>
      <c r="E44" s="176" t="s">
        <v>3</v>
      </c>
      <c r="F44" s="177">
        <f>SUM(F45)</f>
        <v>401852.8</v>
      </c>
      <c r="G44" s="177">
        <f t="shared" ref="G44:T44" si="63">SUM(G45)</f>
        <v>0</v>
      </c>
      <c r="H44" s="177">
        <f t="shared" si="63"/>
        <v>401852.8</v>
      </c>
      <c r="I44" s="178"/>
      <c r="J44" s="177">
        <f t="shared" si="63"/>
        <v>3248</v>
      </c>
      <c r="K44" s="177">
        <f t="shared" si="63"/>
        <v>405100.79999999999</v>
      </c>
      <c r="L44" s="178" t="s">
        <v>228</v>
      </c>
      <c r="M44" s="177">
        <f t="shared" si="63"/>
        <v>123.2</v>
      </c>
      <c r="N44" s="177">
        <f t="shared" si="63"/>
        <v>405224</v>
      </c>
      <c r="O44" s="178" t="s">
        <v>307</v>
      </c>
      <c r="P44" s="177">
        <f t="shared" si="63"/>
        <v>2380.8999999999992</v>
      </c>
      <c r="Q44" s="177">
        <f t="shared" si="63"/>
        <v>407604.9</v>
      </c>
      <c r="R44" s="178" t="s">
        <v>406</v>
      </c>
      <c r="S44" s="177">
        <f t="shared" si="63"/>
        <v>-488.5</v>
      </c>
      <c r="T44" s="179">
        <f t="shared" si="63"/>
        <v>407116.4</v>
      </c>
      <c r="U44" s="180" t="s">
        <v>465</v>
      </c>
    </row>
    <row r="45" spans="1:21" ht="79.5" hidden="1" customHeight="1" outlineLevel="1" x14ac:dyDescent="0.2">
      <c r="A45" s="81"/>
      <c r="B45" s="181" t="s">
        <v>73</v>
      </c>
      <c r="C45" s="182" t="s">
        <v>4</v>
      </c>
      <c r="D45" s="182" t="s">
        <v>14</v>
      </c>
      <c r="E45" s="182" t="s">
        <v>8</v>
      </c>
      <c r="F45" s="183">
        <v>401852.8</v>
      </c>
      <c r="G45" s="183"/>
      <c r="H45" s="183">
        <f>SUM(F45:G45)</f>
        <v>401852.8</v>
      </c>
      <c r="I45" s="184"/>
      <c r="J45" s="183">
        <f>-3+3251</f>
        <v>3248</v>
      </c>
      <c r="K45" s="183">
        <f>SUM(H45,J45)</f>
        <v>405100.79999999999</v>
      </c>
      <c r="L45" s="184" t="s">
        <v>211</v>
      </c>
      <c r="M45" s="183">
        <v>123.2</v>
      </c>
      <c r="N45" s="183">
        <f>SUM(K45,M45)</f>
        <v>405224</v>
      </c>
      <c r="O45" s="184" t="s">
        <v>291</v>
      </c>
      <c r="P45" s="183">
        <f>269.9+4714.5+816.9+34.2-3454.6</f>
        <v>2380.8999999999992</v>
      </c>
      <c r="Q45" s="183">
        <f>SUM(N45,P45)</f>
        <v>407604.9</v>
      </c>
      <c r="R45" s="184" t="s">
        <v>493</v>
      </c>
      <c r="S45" s="183">
        <f>30-93.4-425.1</f>
        <v>-488.5</v>
      </c>
      <c r="T45" s="185">
        <f>SUM(Q45,S45)</f>
        <v>407116.4</v>
      </c>
      <c r="U45" s="186" t="s">
        <v>464</v>
      </c>
    </row>
    <row r="46" spans="1:21" s="77" customFormat="1" ht="51.75" customHeight="1" collapsed="1" x14ac:dyDescent="0.25">
      <c r="A46" s="75"/>
      <c r="B46" s="169" t="s">
        <v>74</v>
      </c>
      <c r="C46" s="170" t="s">
        <v>0</v>
      </c>
      <c r="D46" s="170" t="s">
        <v>3</v>
      </c>
      <c r="E46" s="170" t="s">
        <v>3</v>
      </c>
      <c r="F46" s="171">
        <f>SUM(F47)</f>
        <v>400</v>
      </c>
      <c r="G46" s="171">
        <f t="shared" ref="G46:T46" si="64">SUM(G47)</f>
        <v>0</v>
      </c>
      <c r="H46" s="171">
        <f t="shared" si="64"/>
        <v>400</v>
      </c>
      <c r="I46" s="171"/>
      <c r="J46" s="171">
        <f t="shared" si="64"/>
        <v>60</v>
      </c>
      <c r="K46" s="171">
        <f t="shared" si="64"/>
        <v>460</v>
      </c>
      <c r="L46" s="187" t="s">
        <v>219</v>
      </c>
      <c r="M46" s="171">
        <f t="shared" si="64"/>
        <v>0</v>
      </c>
      <c r="N46" s="171">
        <f t="shared" si="64"/>
        <v>460</v>
      </c>
      <c r="O46" s="187"/>
      <c r="P46" s="171">
        <f t="shared" si="64"/>
        <v>0</v>
      </c>
      <c r="Q46" s="171">
        <f t="shared" si="64"/>
        <v>460</v>
      </c>
      <c r="R46" s="187"/>
      <c r="S46" s="171">
        <f t="shared" si="64"/>
        <v>-81.2</v>
      </c>
      <c r="T46" s="173">
        <f t="shared" si="64"/>
        <v>378.8</v>
      </c>
      <c r="U46" s="174" t="s">
        <v>479</v>
      </c>
    </row>
    <row r="47" spans="1:21" ht="47.25" hidden="1" customHeight="1" outlineLevel="1" x14ac:dyDescent="0.2">
      <c r="A47" s="81"/>
      <c r="B47" s="181" t="s">
        <v>75</v>
      </c>
      <c r="C47" s="182" t="s">
        <v>0</v>
      </c>
      <c r="D47" s="182" t="s">
        <v>1</v>
      </c>
      <c r="E47" s="182" t="s">
        <v>8</v>
      </c>
      <c r="F47" s="183">
        <v>400</v>
      </c>
      <c r="G47" s="183"/>
      <c r="H47" s="183">
        <f>SUM(F47:G47)</f>
        <v>400</v>
      </c>
      <c r="I47" s="183"/>
      <c r="J47" s="183">
        <v>60</v>
      </c>
      <c r="K47" s="183">
        <f>SUM(H47,J47)</f>
        <v>460</v>
      </c>
      <c r="L47" s="184" t="s">
        <v>219</v>
      </c>
      <c r="M47" s="183"/>
      <c r="N47" s="183">
        <f>SUM(K47,M47)</f>
        <v>460</v>
      </c>
      <c r="O47" s="184"/>
      <c r="P47" s="183"/>
      <c r="Q47" s="183">
        <f>SUM(N47,P47)</f>
        <v>460</v>
      </c>
      <c r="R47" s="184"/>
      <c r="S47" s="183">
        <v>-81.2</v>
      </c>
      <c r="T47" s="185">
        <f>SUM(Q47,S47)</f>
        <v>378.8</v>
      </c>
      <c r="U47" s="186" t="s">
        <v>479</v>
      </c>
    </row>
    <row r="48" spans="1:21" s="77" customFormat="1" ht="46.5" customHeight="1" collapsed="1" x14ac:dyDescent="0.25">
      <c r="A48" s="75"/>
      <c r="B48" s="169" t="s">
        <v>76</v>
      </c>
      <c r="C48" s="170" t="s">
        <v>30</v>
      </c>
      <c r="D48" s="170" t="s">
        <v>3</v>
      </c>
      <c r="E48" s="170" t="s">
        <v>3</v>
      </c>
      <c r="F48" s="171">
        <f>SUM(F49:F50)</f>
        <v>17769.099999999999</v>
      </c>
      <c r="G48" s="171">
        <f t="shared" ref="G48:H48" si="65">SUM(G49:G50)</f>
        <v>0</v>
      </c>
      <c r="H48" s="171">
        <f t="shared" si="65"/>
        <v>17769.099999999999</v>
      </c>
      <c r="I48" s="171"/>
      <c r="J48" s="171">
        <f t="shared" ref="J48:K48" si="66">SUM(J49:J50)</f>
        <v>0</v>
      </c>
      <c r="K48" s="171">
        <f t="shared" si="66"/>
        <v>17769.099999999999</v>
      </c>
      <c r="L48" s="172"/>
      <c r="M48" s="171">
        <f t="shared" ref="M48:N48" si="67">SUM(M49:M50)</f>
        <v>0</v>
      </c>
      <c r="N48" s="171">
        <f t="shared" si="67"/>
        <v>17769.099999999999</v>
      </c>
      <c r="O48" s="187"/>
      <c r="P48" s="171">
        <f t="shared" ref="P48:Q48" si="68">SUM(P49:P50)</f>
        <v>579.70000000000005</v>
      </c>
      <c r="Q48" s="171">
        <f t="shared" si="68"/>
        <v>18348.8</v>
      </c>
      <c r="R48" s="187" t="s">
        <v>398</v>
      </c>
      <c r="S48" s="171">
        <f t="shared" ref="S48:T48" si="69">SUM(S49:S50)</f>
        <v>290</v>
      </c>
      <c r="T48" s="173">
        <f t="shared" si="69"/>
        <v>18638.8</v>
      </c>
      <c r="U48" s="174" t="s">
        <v>443</v>
      </c>
    </row>
    <row r="49" spans="1:21" ht="108" hidden="1" customHeight="1" outlineLevel="1" x14ac:dyDescent="0.2">
      <c r="A49" s="81"/>
      <c r="B49" s="181" t="s">
        <v>77</v>
      </c>
      <c r="C49" s="182" t="s">
        <v>30</v>
      </c>
      <c r="D49" s="182" t="s">
        <v>1</v>
      </c>
      <c r="E49" s="182" t="s">
        <v>8</v>
      </c>
      <c r="F49" s="183">
        <v>17751.099999999999</v>
      </c>
      <c r="G49" s="183"/>
      <c r="H49" s="183">
        <f>SUM(F49:G49)</f>
        <v>17751.099999999999</v>
      </c>
      <c r="I49" s="183"/>
      <c r="J49" s="183"/>
      <c r="K49" s="183">
        <f t="shared" ref="K49:K50" si="70">SUM(H49,J49)</f>
        <v>17751.099999999999</v>
      </c>
      <c r="L49" s="184"/>
      <c r="M49" s="183"/>
      <c r="N49" s="183">
        <f t="shared" ref="N49:N50" si="71">SUM(K49,M49)</f>
        <v>17751.099999999999</v>
      </c>
      <c r="O49" s="184"/>
      <c r="P49" s="183">
        <f>-20.3+250+350</f>
        <v>579.70000000000005</v>
      </c>
      <c r="Q49" s="183">
        <f t="shared" ref="Q49:Q50" si="72">SUM(N49,P49)</f>
        <v>18330.8</v>
      </c>
      <c r="R49" s="184" t="s">
        <v>376</v>
      </c>
      <c r="S49" s="183">
        <f>290</f>
        <v>290</v>
      </c>
      <c r="T49" s="185">
        <f t="shared" ref="T49:T50" si="73">SUM(Q49,S49)</f>
        <v>18620.8</v>
      </c>
      <c r="U49" s="188" t="s">
        <v>443</v>
      </c>
    </row>
    <row r="50" spans="1:21" ht="12.75" hidden="1" customHeight="1" outlineLevel="1" x14ac:dyDescent="0.2">
      <c r="A50" s="81"/>
      <c r="B50" s="181" t="s">
        <v>179</v>
      </c>
      <c r="C50" s="182" t="s">
        <v>30</v>
      </c>
      <c r="D50" s="182" t="s">
        <v>1</v>
      </c>
      <c r="E50" s="182" t="s">
        <v>7</v>
      </c>
      <c r="F50" s="183">
        <v>18</v>
      </c>
      <c r="G50" s="183"/>
      <c r="H50" s="183">
        <f>SUM(F50:G50)</f>
        <v>18</v>
      </c>
      <c r="I50" s="183"/>
      <c r="J50" s="183"/>
      <c r="K50" s="183">
        <f t="shared" si="70"/>
        <v>18</v>
      </c>
      <c r="L50" s="184"/>
      <c r="M50" s="183"/>
      <c r="N50" s="183">
        <f t="shared" si="71"/>
        <v>18</v>
      </c>
      <c r="O50" s="184"/>
      <c r="P50" s="183"/>
      <c r="Q50" s="183">
        <f t="shared" si="72"/>
        <v>18</v>
      </c>
      <c r="R50" s="184"/>
      <c r="S50" s="183"/>
      <c r="T50" s="185">
        <f t="shared" si="73"/>
        <v>18</v>
      </c>
      <c r="U50" s="186"/>
    </row>
    <row r="51" spans="1:21" s="77" customFormat="1" ht="114.75" customHeight="1" collapsed="1" x14ac:dyDescent="0.25">
      <c r="A51" s="75"/>
      <c r="B51" s="169" t="s">
        <v>78</v>
      </c>
      <c r="C51" s="170" t="s">
        <v>29</v>
      </c>
      <c r="D51" s="170" t="s">
        <v>3</v>
      </c>
      <c r="E51" s="170" t="s">
        <v>3</v>
      </c>
      <c r="F51" s="171">
        <f>SUM(F52,F57)</f>
        <v>172379.80000000002</v>
      </c>
      <c r="G51" s="171">
        <f t="shared" ref="G51:H51" si="74">SUM(G52,G57)</f>
        <v>8552.1</v>
      </c>
      <c r="H51" s="171">
        <f t="shared" si="74"/>
        <v>179946.6</v>
      </c>
      <c r="I51" s="171"/>
      <c r="J51" s="171">
        <f t="shared" ref="J51:K51" si="75">SUM(J52,J57)</f>
        <v>145354.9</v>
      </c>
      <c r="K51" s="171">
        <f t="shared" si="75"/>
        <v>325301.5</v>
      </c>
      <c r="L51" s="172"/>
      <c r="M51" s="171">
        <f t="shared" ref="M51:N51" si="76">SUM(M52,M57)</f>
        <v>551.20000000000005</v>
      </c>
      <c r="N51" s="171">
        <f t="shared" si="76"/>
        <v>325852.69999999995</v>
      </c>
      <c r="O51" s="172"/>
      <c r="P51" s="171">
        <f t="shared" ref="P51:Q51" si="77">SUM(P52,P57)</f>
        <v>-5325</v>
      </c>
      <c r="Q51" s="171">
        <f t="shared" si="77"/>
        <v>320527.69999999995</v>
      </c>
      <c r="R51" s="172"/>
      <c r="S51" s="171">
        <f t="shared" ref="S51:T51" si="78">SUM(S52,S57)</f>
        <v>-1563.4</v>
      </c>
      <c r="T51" s="173">
        <f t="shared" si="78"/>
        <v>318964.3</v>
      </c>
      <c r="U51" s="174" t="s">
        <v>448</v>
      </c>
    </row>
    <row r="52" spans="1:21" s="80" customFormat="1" ht="94.5" customHeight="1" x14ac:dyDescent="0.2">
      <c r="A52" s="78"/>
      <c r="B52" s="175" t="s">
        <v>79</v>
      </c>
      <c r="C52" s="176" t="s">
        <v>29</v>
      </c>
      <c r="D52" s="176" t="s">
        <v>12</v>
      </c>
      <c r="E52" s="176" t="s">
        <v>3</v>
      </c>
      <c r="F52" s="177">
        <f>SUM(F53:F56)</f>
        <v>166748.70000000001</v>
      </c>
      <c r="G52" s="177">
        <f>SUM(G53:G56)</f>
        <v>7566.8</v>
      </c>
      <c r="H52" s="177">
        <f>SUM(H53:H56)</f>
        <v>174315.5</v>
      </c>
      <c r="I52" s="178" t="s">
        <v>190</v>
      </c>
      <c r="J52" s="177">
        <f>SUM(J53:J56)</f>
        <v>-7566.8</v>
      </c>
      <c r="K52" s="177">
        <f>SUM(K53:K56)</f>
        <v>166748.70000000001</v>
      </c>
      <c r="L52" s="178" t="s">
        <v>246</v>
      </c>
      <c r="M52" s="177">
        <f>SUM(M53:M56)</f>
        <v>0</v>
      </c>
      <c r="N52" s="177">
        <f>SUM(N53:N56)</f>
        <v>166748.70000000001</v>
      </c>
      <c r="O52" s="178"/>
      <c r="P52" s="177">
        <f>SUM(P53:P56)</f>
        <v>8442.2000000000007</v>
      </c>
      <c r="Q52" s="177">
        <f>SUM(Q53:Q56)</f>
        <v>175190.90000000002</v>
      </c>
      <c r="R52" s="178" t="s">
        <v>403</v>
      </c>
      <c r="S52" s="177">
        <f>SUM(S53:S56)</f>
        <v>-71.100000000000023</v>
      </c>
      <c r="T52" s="179">
        <f>SUM(T53:T56)</f>
        <v>175119.80000000002</v>
      </c>
      <c r="U52" s="180" t="s">
        <v>446</v>
      </c>
    </row>
    <row r="53" spans="1:21" ht="66" hidden="1" customHeight="1" outlineLevel="1" x14ac:dyDescent="0.2">
      <c r="A53" s="81"/>
      <c r="B53" s="181" t="s">
        <v>189</v>
      </c>
      <c r="C53" s="182" t="s">
        <v>29</v>
      </c>
      <c r="D53" s="182" t="s">
        <v>12</v>
      </c>
      <c r="E53" s="189" t="s">
        <v>8</v>
      </c>
      <c r="F53" s="183">
        <v>0</v>
      </c>
      <c r="G53" s="183">
        <v>7566.8</v>
      </c>
      <c r="H53" s="183">
        <f>SUM(F53:G53)</f>
        <v>7566.8</v>
      </c>
      <c r="I53" s="184" t="s">
        <v>190</v>
      </c>
      <c r="J53" s="183">
        <v>-7566.8</v>
      </c>
      <c r="K53" s="183">
        <f t="shared" ref="K53:K56" si="79">SUM(H53,J53)</f>
        <v>0</v>
      </c>
      <c r="L53" s="184"/>
      <c r="M53" s="183"/>
      <c r="N53" s="183">
        <f t="shared" ref="N53:N56" si="80">SUM(K53,M53)</f>
        <v>0</v>
      </c>
      <c r="O53" s="184"/>
      <c r="P53" s="183"/>
      <c r="Q53" s="183">
        <f t="shared" ref="Q53:Q56" si="81">SUM(N53,P53)</f>
        <v>0</v>
      </c>
      <c r="R53" s="184"/>
      <c r="S53" s="183">
        <f>100</f>
        <v>100</v>
      </c>
      <c r="T53" s="185">
        <f t="shared" ref="T53:T56" si="82">SUM(Q53,S53)</f>
        <v>100</v>
      </c>
      <c r="U53" s="186" t="s">
        <v>432</v>
      </c>
    </row>
    <row r="54" spans="1:21" ht="45" hidden="1" customHeight="1" outlineLevel="1" x14ac:dyDescent="0.2">
      <c r="A54" s="81"/>
      <c r="B54" s="181" t="s">
        <v>80</v>
      </c>
      <c r="C54" s="182" t="s">
        <v>29</v>
      </c>
      <c r="D54" s="182" t="s">
        <v>12</v>
      </c>
      <c r="E54" s="182" t="s">
        <v>13</v>
      </c>
      <c r="F54" s="183">
        <v>115.6</v>
      </c>
      <c r="G54" s="183"/>
      <c r="H54" s="183">
        <f>SUM(F54:G54)</f>
        <v>115.6</v>
      </c>
      <c r="I54" s="183"/>
      <c r="J54" s="183"/>
      <c r="K54" s="183">
        <f t="shared" si="79"/>
        <v>115.6</v>
      </c>
      <c r="L54" s="184"/>
      <c r="M54" s="183"/>
      <c r="N54" s="183">
        <f t="shared" si="80"/>
        <v>115.6</v>
      </c>
      <c r="O54" s="184"/>
      <c r="P54" s="183">
        <f>240</f>
        <v>240</v>
      </c>
      <c r="Q54" s="183">
        <f t="shared" si="81"/>
        <v>355.6</v>
      </c>
      <c r="R54" s="184" t="s">
        <v>338</v>
      </c>
      <c r="S54" s="183"/>
      <c r="T54" s="185">
        <f t="shared" si="82"/>
        <v>355.6</v>
      </c>
      <c r="U54" s="186"/>
    </row>
    <row r="55" spans="1:21" ht="57" hidden="1" customHeight="1" outlineLevel="1" x14ac:dyDescent="0.2">
      <c r="A55" s="81"/>
      <c r="B55" s="181" t="s">
        <v>256</v>
      </c>
      <c r="C55" s="182" t="s">
        <v>29</v>
      </c>
      <c r="D55" s="182" t="s">
        <v>12</v>
      </c>
      <c r="E55" s="182" t="s">
        <v>6</v>
      </c>
      <c r="F55" s="183">
        <v>4500</v>
      </c>
      <c r="G55" s="183"/>
      <c r="H55" s="183">
        <f t="shared" ref="H55:H56" si="83">SUM(F55:G55)</f>
        <v>4500</v>
      </c>
      <c r="I55" s="183"/>
      <c r="J55" s="183"/>
      <c r="K55" s="183">
        <f t="shared" si="79"/>
        <v>4500</v>
      </c>
      <c r="L55" s="184"/>
      <c r="M55" s="183"/>
      <c r="N55" s="183">
        <f t="shared" si="80"/>
        <v>4500</v>
      </c>
      <c r="O55" s="184"/>
      <c r="P55" s="183"/>
      <c r="Q55" s="183">
        <f t="shared" si="81"/>
        <v>4500</v>
      </c>
      <c r="R55" s="184"/>
      <c r="S55" s="183">
        <f>320</f>
        <v>320</v>
      </c>
      <c r="T55" s="185">
        <f t="shared" si="82"/>
        <v>4820</v>
      </c>
      <c r="U55" s="186" t="s">
        <v>431</v>
      </c>
    </row>
    <row r="56" spans="1:21" ht="169.5" hidden="1" customHeight="1" outlineLevel="1" x14ac:dyDescent="0.2">
      <c r="A56" s="81"/>
      <c r="B56" s="181" t="s">
        <v>81</v>
      </c>
      <c r="C56" s="182" t="s">
        <v>29</v>
      </c>
      <c r="D56" s="182" t="s">
        <v>12</v>
      </c>
      <c r="E56" s="182" t="s">
        <v>5</v>
      </c>
      <c r="F56" s="183">
        <v>162133.1</v>
      </c>
      <c r="G56" s="183"/>
      <c r="H56" s="183">
        <f t="shared" si="83"/>
        <v>162133.1</v>
      </c>
      <c r="I56" s="183"/>
      <c r="J56" s="183"/>
      <c r="K56" s="183">
        <f t="shared" si="79"/>
        <v>162133.1</v>
      </c>
      <c r="L56" s="184"/>
      <c r="M56" s="183"/>
      <c r="N56" s="183">
        <f t="shared" si="80"/>
        <v>162133.1</v>
      </c>
      <c r="O56" s="184"/>
      <c r="P56" s="183">
        <f>-240+1500+597.2+4000+1845+500</f>
        <v>8202.2000000000007</v>
      </c>
      <c r="Q56" s="183">
        <f t="shared" si="81"/>
        <v>170335.30000000002</v>
      </c>
      <c r="R56" s="184" t="s">
        <v>402</v>
      </c>
      <c r="S56" s="183">
        <f>-320-200+250-221.1</f>
        <v>-491.1</v>
      </c>
      <c r="T56" s="185">
        <f t="shared" si="82"/>
        <v>169844.2</v>
      </c>
      <c r="U56" s="186" t="s">
        <v>444</v>
      </c>
    </row>
    <row r="57" spans="1:21" s="80" customFormat="1" ht="136.5" customHeight="1" collapsed="1" x14ac:dyDescent="0.2">
      <c r="A57" s="78"/>
      <c r="B57" s="175" t="s">
        <v>82</v>
      </c>
      <c r="C57" s="176" t="s">
        <v>29</v>
      </c>
      <c r="D57" s="176" t="s">
        <v>10</v>
      </c>
      <c r="E57" s="176" t="s">
        <v>3</v>
      </c>
      <c r="F57" s="177">
        <v>5631.1</v>
      </c>
      <c r="G57" s="177">
        <f t="shared" ref="G57" si="84">SUM(G58:G59)</f>
        <v>985.3</v>
      </c>
      <c r="H57" s="177">
        <v>5631.1</v>
      </c>
      <c r="I57" s="190" t="s">
        <v>193</v>
      </c>
      <c r="J57" s="177">
        <f>SUM(J58:J60)</f>
        <v>152921.69999999998</v>
      </c>
      <c r="K57" s="177">
        <v>158552.79999999999</v>
      </c>
      <c r="L57" s="191" t="s">
        <v>248</v>
      </c>
      <c r="M57" s="177">
        <f>SUM(M58:M60)</f>
        <v>551.20000000000005</v>
      </c>
      <c r="N57" s="192">
        <f>SUM(N58:N60)</f>
        <v>159103.99999999997</v>
      </c>
      <c r="O57" s="193" t="s">
        <v>311</v>
      </c>
      <c r="P57" s="177">
        <f>SUM(P58:P60)</f>
        <v>-13767.2</v>
      </c>
      <c r="Q57" s="177">
        <f>SUM(Q58:Q60)</f>
        <v>145336.79999999996</v>
      </c>
      <c r="R57" s="193" t="s">
        <v>373</v>
      </c>
      <c r="S57" s="177">
        <f>SUM(S58:S60)</f>
        <v>-1492.3000000000002</v>
      </c>
      <c r="T57" s="194">
        <f>SUM(T58:T60)</f>
        <v>143844.49999999997</v>
      </c>
      <c r="U57" s="180" t="s">
        <v>456</v>
      </c>
    </row>
    <row r="58" spans="1:21" ht="185.25" hidden="1" customHeight="1" outlineLevel="1" x14ac:dyDescent="0.2">
      <c r="A58" s="81"/>
      <c r="B58" s="181" t="s">
        <v>257</v>
      </c>
      <c r="C58" s="182" t="s">
        <v>29</v>
      </c>
      <c r="D58" s="182" t="s">
        <v>10</v>
      </c>
      <c r="E58" s="182" t="s">
        <v>8</v>
      </c>
      <c r="F58" s="183">
        <v>3000</v>
      </c>
      <c r="G58" s="183"/>
      <c r="H58" s="183">
        <f>SUM(F58:G58)</f>
        <v>3000</v>
      </c>
      <c r="I58" s="183"/>
      <c r="J58" s="183">
        <f>200</f>
        <v>200</v>
      </c>
      <c r="K58" s="183">
        <f t="shared" ref="K58:K60" si="85">SUM(H58,J58)</f>
        <v>3200</v>
      </c>
      <c r="L58" s="184"/>
      <c r="M58" s="183">
        <f>50+501.2</f>
        <v>551.20000000000005</v>
      </c>
      <c r="N58" s="183">
        <f>SUM(K58,M58)-0.1</f>
        <v>3751.1</v>
      </c>
      <c r="O58" s="184" t="s">
        <v>283</v>
      </c>
      <c r="P58" s="183">
        <f>500</f>
        <v>500</v>
      </c>
      <c r="Q58" s="183">
        <v>4251.2</v>
      </c>
      <c r="R58" s="184" t="s">
        <v>359</v>
      </c>
      <c r="S58" s="183">
        <f xml:space="preserve"> -100+200+50+221.1</f>
        <v>371.1</v>
      </c>
      <c r="T58" s="185">
        <f t="shared" ref="T58:T60" si="86">SUM(Q58,S58)</f>
        <v>4622.3</v>
      </c>
      <c r="U58" s="186" t="s">
        <v>447</v>
      </c>
    </row>
    <row r="59" spans="1:21" ht="45" hidden="1" customHeight="1" outlineLevel="1" x14ac:dyDescent="0.2">
      <c r="A59" s="81"/>
      <c r="B59" s="181" t="s">
        <v>258</v>
      </c>
      <c r="C59" s="182" t="s">
        <v>29</v>
      </c>
      <c r="D59" s="182" t="s">
        <v>10</v>
      </c>
      <c r="E59" s="182" t="s">
        <v>13</v>
      </c>
      <c r="F59" s="183">
        <v>1645.9</v>
      </c>
      <c r="G59" s="183">
        <f>321.4+663.9</f>
        <v>985.3</v>
      </c>
      <c r="H59" s="183">
        <f>SUM(F59:G59)</f>
        <v>2631.2</v>
      </c>
      <c r="I59" s="195" t="s">
        <v>187</v>
      </c>
      <c r="J59" s="183"/>
      <c r="K59" s="183">
        <f t="shared" si="85"/>
        <v>2631.2</v>
      </c>
      <c r="L59" s="195"/>
      <c r="M59" s="183"/>
      <c r="N59" s="183">
        <f t="shared" ref="N59:N60" si="87">SUM(K59,M59)</f>
        <v>2631.2</v>
      </c>
      <c r="O59" s="195"/>
      <c r="P59" s="183">
        <v>895</v>
      </c>
      <c r="Q59" s="183">
        <v>3526.1</v>
      </c>
      <c r="R59" s="196" t="s">
        <v>336</v>
      </c>
      <c r="S59" s="183"/>
      <c r="T59" s="185">
        <f t="shared" si="86"/>
        <v>3526.1</v>
      </c>
      <c r="U59" s="186"/>
    </row>
    <row r="60" spans="1:21" ht="62.25" hidden="1" customHeight="1" outlineLevel="1" x14ac:dyDescent="0.2">
      <c r="A60" s="81"/>
      <c r="B60" s="181" t="s">
        <v>245</v>
      </c>
      <c r="C60" s="182" t="s">
        <v>29</v>
      </c>
      <c r="D60" s="182" t="s">
        <v>10</v>
      </c>
      <c r="E60" s="189" t="s">
        <v>6</v>
      </c>
      <c r="F60" s="183">
        <v>0</v>
      </c>
      <c r="G60" s="183"/>
      <c r="H60" s="183">
        <f>SUM(F60:G60)</f>
        <v>0</v>
      </c>
      <c r="I60" s="195"/>
      <c r="J60" s="183">
        <f>1386.6+143768.3+7566.8</f>
        <v>152721.69999999998</v>
      </c>
      <c r="K60" s="183">
        <f t="shared" si="85"/>
        <v>152721.69999999998</v>
      </c>
      <c r="L60" s="195" t="s">
        <v>247</v>
      </c>
      <c r="M60" s="183"/>
      <c r="N60" s="183">
        <f t="shared" si="87"/>
        <v>152721.69999999998</v>
      </c>
      <c r="O60" s="195"/>
      <c r="P60" s="183">
        <f>-14404.1-758.1</f>
        <v>-15162.2</v>
      </c>
      <c r="Q60" s="183">
        <f t="shared" ref="Q60" si="88">SUM(N60,P60)</f>
        <v>137559.49999999997</v>
      </c>
      <c r="R60" s="196" t="s">
        <v>366</v>
      </c>
      <c r="S60" s="183">
        <f>-1770.2-93.2</f>
        <v>-1863.4</v>
      </c>
      <c r="T60" s="185">
        <f t="shared" si="86"/>
        <v>135696.09999999998</v>
      </c>
      <c r="U60" s="186" t="s">
        <v>445</v>
      </c>
    </row>
    <row r="61" spans="1:21" s="77" customFormat="1" ht="134.25" customHeight="1" collapsed="1" x14ac:dyDescent="0.2">
      <c r="A61" s="75"/>
      <c r="B61" s="197" t="s">
        <v>83</v>
      </c>
      <c r="C61" s="170" t="s">
        <v>28</v>
      </c>
      <c r="D61" s="170" t="s">
        <v>3</v>
      </c>
      <c r="E61" s="170" t="s">
        <v>3</v>
      </c>
      <c r="F61" s="171">
        <f>SUM(F62:F64)</f>
        <v>61265.1</v>
      </c>
      <c r="G61" s="171">
        <f t="shared" ref="G61:H61" si="89">SUM(G62:G64)</f>
        <v>0</v>
      </c>
      <c r="H61" s="171">
        <f t="shared" si="89"/>
        <v>61265.1</v>
      </c>
      <c r="I61" s="171"/>
      <c r="J61" s="171">
        <f t="shared" ref="J61:K61" si="90">SUM(J62:J64)</f>
        <v>370</v>
      </c>
      <c r="K61" s="171">
        <f t="shared" si="90"/>
        <v>61635.1</v>
      </c>
      <c r="L61" s="187" t="s">
        <v>232</v>
      </c>
      <c r="M61" s="171">
        <f t="shared" ref="M61:N61" si="91">SUM(M62:M64)</f>
        <v>-4602.8</v>
      </c>
      <c r="N61" s="171">
        <f t="shared" si="91"/>
        <v>57032.3</v>
      </c>
      <c r="O61" s="187" t="s">
        <v>331</v>
      </c>
      <c r="P61" s="171">
        <f t="shared" ref="P61:Q61" si="92">SUM(P62:P64)</f>
        <v>8072.9000000000005</v>
      </c>
      <c r="Q61" s="171">
        <f t="shared" si="92"/>
        <v>65105.2</v>
      </c>
      <c r="R61" s="187" t="s">
        <v>394</v>
      </c>
      <c r="S61" s="171">
        <f t="shared" ref="S61:T61" si="93">SUM(S62:S64)</f>
        <v>-735.3</v>
      </c>
      <c r="T61" s="173">
        <f t="shared" si="93"/>
        <v>64369.899999999994</v>
      </c>
      <c r="U61" s="174" t="s">
        <v>468</v>
      </c>
    </row>
    <row r="62" spans="1:21" ht="41.25" hidden="1" customHeight="1" outlineLevel="1" x14ac:dyDescent="0.2">
      <c r="A62" s="81"/>
      <c r="B62" s="181" t="s">
        <v>84</v>
      </c>
      <c r="C62" s="182" t="s">
        <v>28</v>
      </c>
      <c r="D62" s="182" t="s">
        <v>1</v>
      </c>
      <c r="E62" s="182" t="s">
        <v>8</v>
      </c>
      <c r="F62" s="183">
        <v>44569.5</v>
      </c>
      <c r="G62" s="183"/>
      <c r="H62" s="183">
        <f>SUM(F62:G62)</f>
        <v>44569.5</v>
      </c>
      <c r="I62" s="183"/>
      <c r="J62" s="183"/>
      <c r="K62" s="183">
        <f t="shared" ref="K62:K64" si="94">SUM(H62,J62)</f>
        <v>44569.5</v>
      </c>
      <c r="L62" s="184"/>
      <c r="M62" s="183">
        <v>-4600</v>
      </c>
      <c r="N62" s="183">
        <f t="shared" ref="N62:N64" si="95">SUM(K62,M62)</f>
        <v>39969.5</v>
      </c>
      <c r="O62" s="184" t="s">
        <v>330</v>
      </c>
      <c r="P62" s="183">
        <f>2930-2065.4-500-250+1670+1400</f>
        <v>3184.6</v>
      </c>
      <c r="Q62" s="183">
        <f>SUM(N62,P62)</f>
        <v>43154.1</v>
      </c>
      <c r="R62" s="184" t="s">
        <v>389</v>
      </c>
      <c r="S62" s="183">
        <v>-200</v>
      </c>
      <c r="T62" s="185">
        <f>SUM(Q62,S62)</f>
        <v>42954.1</v>
      </c>
      <c r="U62" s="198" t="s">
        <v>441</v>
      </c>
    </row>
    <row r="63" spans="1:21" ht="58.5" hidden="1" customHeight="1" outlineLevel="1" x14ac:dyDescent="0.2">
      <c r="A63" s="81"/>
      <c r="B63" s="181" t="s">
        <v>85</v>
      </c>
      <c r="C63" s="182" t="s">
        <v>28</v>
      </c>
      <c r="D63" s="182" t="s">
        <v>1</v>
      </c>
      <c r="E63" s="182" t="s">
        <v>7</v>
      </c>
      <c r="F63" s="183">
        <v>8669.2000000000007</v>
      </c>
      <c r="G63" s="183"/>
      <c r="H63" s="183">
        <f t="shared" ref="H63:H64" si="96">SUM(F63:G63)</f>
        <v>8669.2000000000007</v>
      </c>
      <c r="I63" s="183"/>
      <c r="J63" s="183"/>
      <c r="K63" s="183">
        <f t="shared" si="94"/>
        <v>8669.2000000000007</v>
      </c>
      <c r="L63" s="184"/>
      <c r="M63" s="183">
        <v>-2.8</v>
      </c>
      <c r="N63" s="183">
        <f t="shared" si="95"/>
        <v>8666.4000000000015</v>
      </c>
      <c r="O63" s="184" t="s">
        <v>292</v>
      </c>
      <c r="P63" s="183">
        <f>-91.5+4500</f>
        <v>4408.5</v>
      </c>
      <c r="Q63" s="183">
        <f t="shared" ref="Q63:Q64" si="97">SUM(N63,P63)</f>
        <v>13074.900000000001</v>
      </c>
      <c r="R63" s="184" t="s">
        <v>348</v>
      </c>
      <c r="S63" s="183">
        <f>23-328.8</f>
        <v>-305.8</v>
      </c>
      <c r="T63" s="185">
        <f t="shared" ref="T63:T64" si="98">SUM(Q63,S63)</f>
        <v>12769.100000000002</v>
      </c>
      <c r="U63" s="186" t="s">
        <v>440</v>
      </c>
    </row>
    <row r="64" spans="1:21" ht="63.75" hidden="1" customHeight="1" outlineLevel="1" x14ac:dyDescent="0.2">
      <c r="A64" s="81"/>
      <c r="B64" s="181" t="s">
        <v>86</v>
      </c>
      <c r="C64" s="182" t="s">
        <v>28</v>
      </c>
      <c r="D64" s="182" t="s">
        <v>1</v>
      </c>
      <c r="E64" s="182" t="s">
        <v>13</v>
      </c>
      <c r="F64" s="183">
        <v>8026.4</v>
      </c>
      <c r="G64" s="183"/>
      <c r="H64" s="183">
        <f t="shared" si="96"/>
        <v>8026.4</v>
      </c>
      <c r="I64" s="183"/>
      <c r="J64" s="183">
        <v>370</v>
      </c>
      <c r="K64" s="183">
        <f t="shared" si="94"/>
        <v>8396.4</v>
      </c>
      <c r="L64" s="184" t="s">
        <v>205</v>
      </c>
      <c r="M64" s="183"/>
      <c r="N64" s="183">
        <f t="shared" si="95"/>
        <v>8396.4</v>
      </c>
      <c r="O64" s="184"/>
      <c r="P64" s="183">
        <f>479.8</f>
        <v>479.8</v>
      </c>
      <c r="Q64" s="183">
        <f t="shared" si="97"/>
        <v>8876.1999999999989</v>
      </c>
      <c r="R64" s="184" t="s">
        <v>350</v>
      </c>
      <c r="S64" s="183">
        <f>-23-206.5</f>
        <v>-229.5</v>
      </c>
      <c r="T64" s="185">
        <f t="shared" si="98"/>
        <v>8646.6999999999989</v>
      </c>
      <c r="U64" s="186" t="s">
        <v>442</v>
      </c>
    </row>
    <row r="65" spans="1:21" s="77" customFormat="1" ht="32.25" customHeight="1" collapsed="1" x14ac:dyDescent="0.25">
      <c r="A65" s="75"/>
      <c r="B65" s="169" t="s">
        <v>87</v>
      </c>
      <c r="C65" s="170" t="s">
        <v>27</v>
      </c>
      <c r="D65" s="170" t="s">
        <v>3</v>
      </c>
      <c r="E65" s="170" t="s">
        <v>3</v>
      </c>
      <c r="F65" s="171">
        <f>SUM(F66,F68,F71,F76)</f>
        <v>154357.1</v>
      </c>
      <c r="G65" s="171">
        <f t="shared" ref="G65:H65" si="99">SUM(G66,G68,G71,G76)</f>
        <v>50689.2</v>
      </c>
      <c r="H65" s="171">
        <f t="shared" si="99"/>
        <v>580946.1</v>
      </c>
      <c r="I65" s="171"/>
      <c r="J65" s="171">
        <f t="shared" ref="J65:K65" si="100">SUM(J66,J68,J71,J76)</f>
        <v>896891.3</v>
      </c>
      <c r="K65" s="171">
        <f t="shared" si="100"/>
        <v>1086417.7999999998</v>
      </c>
      <c r="L65" s="172"/>
      <c r="M65" s="171">
        <f t="shared" ref="M65:N65" si="101">SUM(M66,M68,M71,M76)</f>
        <v>33493.89</v>
      </c>
      <c r="N65" s="171">
        <f t="shared" si="101"/>
        <v>1119911.7</v>
      </c>
      <c r="O65" s="172"/>
      <c r="P65" s="171">
        <f t="shared" ref="P65" si="102">SUM(P66,P68,P71,P76)</f>
        <v>207030.61</v>
      </c>
      <c r="Q65" s="171">
        <f>SUM(Q66,Q68,Q71,Q76)</f>
        <v>1326942.22</v>
      </c>
      <c r="R65" s="172"/>
      <c r="S65" s="171">
        <f t="shared" ref="S65" si="103">SUM(S66,S68,S71,S76)</f>
        <v>121543.6</v>
      </c>
      <c r="T65" s="173">
        <f>SUM(T66,T68,T71,T76)</f>
        <v>1448485.8199999998</v>
      </c>
      <c r="U65" s="174"/>
    </row>
    <row r="66" spans="1:21" s="80" customFormat="1" ht="62.25" customHeight="1" x14ac:dyDescent="0.2">
      <c r="A66" s="78"/>
      <c r="B66" s="175" t="s">
        <v>88</v>
      </c>
      <c r="C66" s="176" t="s">
        <v>27</v>
      </c>
      <c r="D66" s="176" t="s">
        <v>12</v>
      </c>
      <c r="E66" s="176" t="s">
        <v>3</v>
      </c>
      <c r="F66" s="177">
        <f>SUM(F67)</f>
        <v>611.79999999999995</v>
      </c>
      <c r="G66" s="177">
        <f t="shared" ref="G66:N66" si="104">SUM(G67)</f>
        <v>0</v>
      </c>
      <c r="H66" s="177">
        <f t="shared" si="104"/>
        <v>611.79999999999995</v>
      </c>
      <c r="I66" s="177"/>
      <c r="J66" s="177">
        <f t="shared" si="104"/>
        <v>0</v>
      </c>
      <c r="K66" s="177">
        <f t="shared" si="104"/>
        <v>611.79999999999995</v>
      </c>
      <c r="L66" s="178"/>
      <c r="M66" s="177">
        <f>SUM(M67)-0.01</f>
        <v>357.19000000000005</v>
      </c>
      <c r="N66" s="177">
        <f t="shared" si="104"/>
        <v>969</v>
      </c>
      <c r="O66" s="178" t="s">
        <v>287</v>
      </c>
      <c r="P66" s="177">
        <f>SUM(P67)-0.01</f>
        <v>689.11</v>
      </c>
      <c r="Q66" s="177">
        <f t="shared" ref="Q66" si="105">SUM(Q67)</f>
        <v>1658.12</v>
      </c>
      <c r="R66" s="178" t="s">
        <v>342</v>
      </c>
      <c r="S66" s="177">
        <f>SUM(S67)</f>
        <v>0</v>
      </c>
      <c r="T66" s="179">
        <f t="shared" ref="T66" si="106">SUM(T67)</f>
        <v>1658.12</v>
      </c>
      <c r="U66" s="180"/>
    </row>
    <row r="67" spans="1:21" ht="36.75" hidden="1" customHeight="1" outlineLevel="1" x14ac:dyDescent="0.2">
      <c r="A67" s="81"/>
      <c r="B67" s="181" t="s">
        <v>89</v>
      </c>
      <c r="C67" s="182" t="s">
        <v>27</v>
      </c>
      <c r="D67" s="182" t="s">
        <v>12</v>
      </c>
      <c r="E67" s="182" t="s">
        <v>8</v>
      </c>
      <c r="F67" s="183">
        <v>611.79999999999995</v>
      </c>
      <c r="G67" s="183"/>
      <c r="H67" s="183">
        <f>SUM(F67:G67)</f>
        <v>611.79999999999995</v>
      </c>
      <c r="I67" s="183"/>
      <c r="J67" s="183"/>
      <c r="K67" s="183">
        <f>SUM(H67,J67)</f>
        <v>611.79999999999995</v>
      </c>
      <c r="L67" s="184"/>
      <c r="M67" s="183">
        <f>290.1+15.1+15.7+36.3</f>
        <v>357.20000000000005</v>
      </c>
      <c r="N67" s="183">
        <f>SUM(K67,M67)</f>
        <v>969</v>
      </c>
      <c r="O67" s="184" t="s">
        <v>287</v>
      </c>
      <c r="P67" s="199">
        <f>689.1+0.02</f>
        <v>689.12</v>
      </c>
      <c r="Q67" s="183">
        <f>SUM(N67,P67)</f>
        <v>1658.12</v>
      </c>
      <c r="R67" s="200" t="s">
        <v>342</v>
      </c>
      <c r="S67" s="199"/>
      <c r="T67" s="185">
        <f>SUM(Q67,S67)</f>
        <v>1658.12</v>
      </c>
      <c r="U67" s="186"/>
    </row>
    <row r="68" spans="1:21" s="80" customFormat="1" ht="129" customHeight="1" collapsed="1" x14ac:dyDescent="0.2">
      <c r="A68" s="78"/>
      <c r="B68" s="175" t="s">
        <v>90</v>
      </c>
      <c r="C68" s="176" t="s">
        <v>27</v>
      </c>
      <c r="D68" s="176" t="s">
        <v>10</v>
      </c>
      <c r="E68" s="176" t="s">
        <v>3</v>
      </c>
      <c r="F68" s="177">
        <f>SUM(F69:F70)</f>
        <v>27262.899999999998</v>
      </c>
      <c r="G68" s="177">
        <f t="shared" ref="G68:H68" si="107">SUM(G69:G70)</f>
        <v>0</v>
      </c>
      <c r="H68" s="177">
        <f t="shared" si="107"/>
        <v>27262.899999999998</v>
      </c>
      <c r="I68" s="177"/>
      <c r="J68" s="177">
        <f t="shared" ref="J68:K68" si="108">SUM(J69:J70)</f>
        <v>15641.4</v>
      </c>
      <c r="K68" s="177">
        <f t="shared" si="108"/>
        <v>42904.299999999996</v>
      </c>
      <c r="L68" s="178" t="s">
        <v>240</v>
      </c>
      <c r="M68" s="177">
        <f t="shared" ref="M68:N68" si="109">SUM(M69:M70)</f>
        <v>33188.699999999997</v>
      </c>
      <c r="N68" s="177">
        <f t="shared" si="109"/>
        <v>76093</v>
      </c>
      <c r="O68" s="178" t="s">
        <v>268</v>
      </c>
      <c r="P68" s="177">
        <f t="shared" ref="P68:Q68" si="110">SUM(P69:P70)</f>
        <v>0</v>
      </c>
      <c r="Q68" s="177">
        <f t="shared" si="110"/>
        <v>76093</v>
      </c>
      <c r="R68" s="178"/>
      <c r="S68" s="177">
        <f t="shared" ref="S68:T68" si="111">SUM(S69:S70)</f>
        <v>-16111.6</v>
      </c>
      <c r="T68" s="179">
        <f t="shared" si="111"/>
        <v>59981.399999999994</v>
      </c>
      <c r="U68" s="180" t="s">
        <v>470</v>
      </c>
    </row>
    <row r="69" spans="1:21" ht="136.5" hidden="1" customHeight="1" outlineLevel="1" x14ac:dyDescent="0.2">
      <c r="A69" s="81"/>
      <c r="B69" s="181" t="s">
        <v>91</v>
      </c>
      <c r="C69" s="182" t="s">
        <v>27</v>
      </c>
      <c r="D69" s="182" t="s">
        <v>10</v>
      </c>
      <c r="E69" s="182" t="s">
        <v>8</v>
      </c>
      <c r="F69" s="183">
        <v>27252.799999999999</v>
      </c>
      <c r="G69" s="183"/>
      <c r="H69" s="183">
        <f>SUM(F69:G69)</f>
        <v>27252.799999999999</v>
      </c>
      <c r="I69" s="183"/>
      <c r="J69" s="183">
        <v>15641.4</v>
      </c>
      <c r="K69" s="183">
        <f t="shared" ref="K69:K70" si="112">SUM(H69,J69)</f>
        <v>42894.2</v>
      </c>
      <c r="L69" s="184" t="s">
        <v>210</v>
      </c>
      <c r="M69" s="183">
        <f>33188.7</f>
        <v>33188.699999999997</v>
      </c>
      <c r="N69" s="183">
        <f t="shared" ref="N69:N70" si="113">SUM(K69,M69)</f>
        <v>76082.899999999994</v>
      </c>
      <c r="O69" s="184" t="s">
        <v>268</v>
      </c>
      <c r="P69" s="183"/>
      <c r="Q69" s="183">
        <f t="shared" ref="Q69:Q70" si="114">SUM(N69,P69)</f>
        <v>76082.899999999994</v>
      </c>
      <c r="R69" s="184"/>
      <c r="S69" s="183">
        <f>-3552.6-12559</f>
        <v>-16111.6</v>
      </c>
      <c r="T69" s="185">
        <f t="shared" ref="T69:T70" si="115">SUM(Q69,S69)</f>
        <v>59971.299999999996</v>
      </c>
      <c r="U69" s="196" t="s">
        <v>469</v>
      </c>
    </row>
    <row r="70" spans="1:21" ht="75.75" hidden="1" customHeight="1" outlineLevel="1" x14ac:dyDescent="0.2">
      <c r="A70" s="81"/>
      <c r="B70" s="181" t="s">
        <v>92</v>
      </c>
      <c r="C70" s="182" t="s">
        <v>27</v>
      </c>
      <c r="D70" s="182" t="s">
        <v>10</v>
      </c>
      <c r="E70" s="182" t="s">
        <v>7</v>
      </c>
      <c r="F70" s="183">
        <v>10.1</v>
      </c>
      <c r="G70" s="183"/>
      <c r="H70" s="183">
        <f>SUM(F70:G70)</f>
        <v>10.1</v>
      </c>
      <c r="I70" s="183"/>
      <c r="J70" s="183"/>
      <c r="K70" s="183">
        <f t="shared" si="112"/>
        <v>10.1</v>
      </c>
      <c r="L70" s="184"/>
      <c r="M70" s="183"/>
      <c r="N70" s="183">
        <f t="shared" si="113"/>
        <v>10.1</v>
      </c>
      <c r="O70" s="184"/>
      <c r="P70" s="183"/>
      <c r="Q70" s="183">
        <f t="shared" si="114"/>
        <v>10.1</v>
      </c>
      <c r="R70" s="184"/>
      <c r="S70" s="183"/>
      <c r="T70" s="185">
        <f t="shared" si="115"/>
        <v>10.1</v>
      </c>
      <c r="U70" s="196"/>
    </row>
    <row r="71" spans="1:21" s="80" customFormat="1" ht="184.5" customHeight="1" collapsed="1" x14ac:dyDescent="0.2">
      <c r="A71" s="78"/>
      <c r="B71" s="175" t="s">
        <v>93</v>
      </c>
      <c r="C71" s="176" t="s">
        <v>27</v>
      </c>
      <c r="D71" s="176" t="s">
        <v>14</v>
      </c>
      <c r="E71" s="176" t="s">
        <v>3</v>
      </c>
      <c r="F71" s="177">
        <f>SUM(F72:G75)</f>
        <v>126482.40000000001</v>
      </c>
      <c r="G71" s="177">
        <f t="shared" ref="G71" si="116">SUM(G72:G73)</f>
        <v>15519.8</v>
      </c>
      <c r="H71" s="177">
        <f>SUM(H72:J75)</f>
        <v>517902</v>
      </c>
      <c r="I71" s="178" t="s">
        <v>197</v>
      </c>
      <c r="J71" s="177">
        <f t="shared" ref="J71" si="117">SUM(J72:J73)</f>
        <v>391419.6</v>
      </c>
      <c r="K71" s="177">
        <f>SUM(K72:K75)</f>
        <v>517902</v>
      </c>
      <c r="L71" s="178" t="s">
        <v>229</v>
      </c>
      <c r="M71" s="177">
        <f>SUM(M72:M75)</f>
        <v>-52</v>
      </c>
      <c r="N71" s="177">
        <f>SUM(N72:N75)</f>
        <v>517850</v>
      </c>
      <c r="O71" s="178" t="s">
        <v>302</v>
      </c>
      <c r="P71" s="177">
        <f>SUM(P72:P75)</f>
        <v>219071.5</v>
      </c>
      <c r="Q71" s="177">
        <f>SUM(Q72:Q75)</f>
        <v>736921.5</v>
      </c>
      <c r="R71" s="178" t="s">
        <v>395</v>
      </c>
      <c r="S71" s="177">
        <f>SUM(S72:S75)</f>
        <v>247208.6</v>
      </c>
      <c r="T71" s="179">
        <f>SUM(T72:T75)</f>
        <v>984130.1</v>
      </c>
      <c r="U71" s="180" t="s">
        <v>472</v>
      </c>
    </row>
    <row r="72" spans="1:21" ht="112.5" hidden="1" customHeight="1" outlineLevel="1" x14ac:dyDescent="0.2">
      <c r="A72" s="81"/>
      <c r="B72" s="181" t="s">
        <v>94</v>
      </c>
      <c r="C72" s="182" t="s">
        <v>27</v>
      </c>
      <c r="D72" s="182" t="s">
        <v>14</v>
      </c>
      <c r="E72" s="182" t="s">
        <v>8</v>
      </c>
      <c r="F72" s="183">
        <v>102688.6</v>
      </c>
      <c r="G72" s="183">
        <f>5000+4991+2009.9+3509.9+9</f>
        <v>15519.8</v>
      </c>
      <c r="H72" s="183">
        <f>SUM(F72:G72)</f>
        <v>118208.40000000001</v>
      </c>
      <c r="I72" s="184" t="s">
        <v>196</v>
      </c>
      <c r="J72" s="183">
        <f>13773.1+26203.8+348136.1</f>
        <v>388113</v>
      </c>
      <c r="K72" s="183">
        <f t="shared" ref="K72:K73" si="118">SUM(H72,J72)</f>
        <v>506321.4</v>
      </c>
      <c r="L72" s="184" t="s">
        <v>220</v>
      </c>
      <c r="M72" s="183">
        <f>-15.7-26203.8-348136.1-36.3</f>
        <v>-374391.89999999997</v>
      </c>
      <c r="N72" s="183">
        <f t="shared" ref="N72:N75" si="119">SUM(K72,M72)</f>
        <v>131929.50000000006</v>
      </c>
      <c r="O72" s="184" t="s">
        <v>288</v>
      </c>
      <c r="P72" s="183">
        <f>177234.5-757.3-4500-200-229.8+17000+18605.8+1100</f>
        <v>208253.2</v>
      </c>
      <c r="Q72" s="183">
        <f t="shared" ref="Q72:Q75" si="120">SUM(N72,P72)</f>
        <v>340182.70000000007</v>
      </c>
      <c r="R72" s="184" t="s">
        <v>383</v>
      </c>
      <c r="S72" s="183">
        <f>245811+18494-17000</f>
        <v>247305</v>
      </c>
      <c r="T72" s="185">
        <f t="shared" ref="T72:T75" si="121">SUM(Q72,S72)</f>
        <v>587487.70000000007</v>
      </c>
      <c r="U72" s="186" t="s">
        <v>471</v>
      </c>
    </row>
    <row r="73" spans="1:21" ht="89.25" hidden="1" customHeight="1" outlineLevel="1" x14ac:dyDescent="0.2">
      <c r="A73" s="81"/>
      <c r="B73" s="181" t="s">
        <v>95</v>
      </c>
      <c r="C73" s="182" t="s">
        <v>27</v>
      </c>
      <c r="D73" s="182" t="s">
        <v>14</v>
      </c>
      <c r="E73" s="182" t="s">
        <v>7</v>
      </c>
      <c r="F73" s="183">
        <v>8274</v>
      </c>
      <c r="G73" s="183"/>
      <c r="H73" s="183">
        <f>SUM(F73:G73)</f>
        <v>8274</v>
      </c>
      <c r="I73" s="183"/>
      <c r="J73" s="183">
        <f>826.7+2479.9</f>
        <v>3306.6000000000004</v>
      </c>
      <c r="K73" s="183">
        <f t="shared" si="118"/>
        <v>11580.6</v>
      </c>
      <c r="L73" s="184" t="s">
        <v>221</v>
      </c>
      <c r="M73" s="183"/>
      <c r="N73" s="183">
        <f>SUM(K73,M73)</f>
        <v>11580.6</v>
      </c>
      <c r="O73" s="184"/>
      <c r="P73" s="183">
        <v>-8274.1</v>
      </c>
      <c r="Q73" s="183">
        <f t="shared" si="120"/>
        <v>3306.5</v>
      </c>
      <c r="R73" s="184" t="s">
        <v>357</v>
      </c>
      <c r="S73" s="183">
        <f>-72.3-24.1</f>
        <v>-96.4</v>
      </c>
      <c r="T73" s="185">
        <f t="shared" si="121"/>
        <v>3210.1</v>
      </c>
      <c r="U73" s="196" t="s">
        <v>453</v>
      </c>
    </row>
    <row r="74" spans="1:21" ht="97.5" hidden="1" customHeight="1" outlineLevel="1" x14ac:dyDescent="0.2">
      <c r="A74" s="81"/>
      <c r="B74" s="181" t="s">
        <v>356</v>
      </c>
      <c r="C74" s="182">
        <v>11</v>
      </c>
      <c r="D74" s="182">
        <v>3</v>
      </c>
      <c r="E74" s="182">
        <v>3</v>
      </c>
      <c r="F74" s="183"/>
      <c r="G74" s="183"/>
      <c r="H74" s="183"/>
      <c r="I74" s="183"/>
      <c r="J74" s="183"/>
      <c r="K74" s="183"/>
      <c r="L74" s="184"/>
      <c r="M74" s="183"/>
      <c r="N74" s="183"/>
      <c r="O74" s="184"/>
      <c r="P74" s="183">
        <v>8274.1</v>
      </c>
      <c r="Q74" s="183">
        <f t="shared" si="120"/>
        <v>8274.1</v>
      </c>
      <c r="R74" s="184" t="s">
        <v>358</v>
      </c>
      <c r="S74" s="183"/>
      <c r="T74" s="185">
        <f t="shared" si="121"/>
        <v>8274.1</v>
      </c>
      <c r="U74" s="186"/>
    </row>
    <row r="75" spans="1:21" ht="115.5" hidden="1" customHeight="1" outlineLevel="1" x14ac:dyDescent="0.2">
      <c r="A75" s="81"/>
      <c r="B75" s="181" t="s">
        <v>251</v>
      </c>
      <c r="C75" s="182">
        <v>11</v>
      </c>
      <c r="D75" s="182">
        <v>3</v>
      </c>
      <c r="E75" s="182" t="s">
        <v>252</v>
      </c>
      <c r="F75" s="183">
        <v>0</v>
      </c>
      <c r="G75" s="183"/>
      <c r="H75" s="183">
        <f>SUM(F75:G75)</f>
        <v>0</v>
      </c>
      <c r="I75" s="183"/>
      <c r="J75" s="183"/>
      <c r="K75" s="183"/>
      <c r="L75" s="184"/>
      <c r="M75" s="183">
        <f>26203.8+348136.1</f>
        <v>374339.89999999997</v>
      </c>
      <c r="N75" s="183">
        <f t="shared" si="119"/>
        <v>374339.89999999997</v>
      </c>
      <c r="O75" s="184" t="s">
        <v>253</v>
      </c>
      <c r="P75" s="183">
        <f>6137.2+3923.8+757.3</f>
        <v>10818.3</v>
      </c>
      <c r="Q75" s="183">
        <f t="shared" si="120"/>
        <v>385158.19999999995</v>
      </c>
      <c r="R75" s="184" t="s">
        <v>382</v>
      </c>
      <c r="S75" s="183"/>
      <c r="T75" s="185">
        <f t="shared" si="121"/>
        <v>385158.19999999995</v>
      </c>
      <c r="U75" s="186"/>
    </row>
    <row r="76" spans="1:21" s="80" customFormat="1" ht="96.75" customHeight="1" collapsed="1" x14ac:dyDescent="0.2">
      <c r="A76" s="78"/>
      <c r="B76" s="175" t="s">
        <v>215</v>
      </c>
      <c r="C76" s="176" t="s">
        <v>27</v>
      </c>
      <c r="D76" s="176">
        <v>4</v>
      </c>
      <c r="E76" s="176" t="s">
        <v>3</v>
      </c>
      <c r="F76" s="177">
        <f>SUM(F77)</f>
        <v>0</v>
      </c>
      <c r="G76" s="177">
        <f t="shared" ref="G76:T76" si="122">SUM(G77)</f>
        <v>35169.4</v>
      </c>
      <c r="H76" s="177">
        <f t="shared" si="122"/>
        <v>35169.4</v>
      </c>
      <c r="I76" s="178" t="s">
        <v>185</v>
      </c>
      <c r="J76" s="177">
        <f t="shared" si="122"/>
        <v>489830.3</v>
      </c>
      <c r="K76" s="177">
        <f t="shared" si="122"/>
        <v>524999.69999999995</v>
      </c>
      <c r="L76" s="178" t="s">
        <v>241</v>
      </c>
      <c r="M76" s="177">
        <f t="shared" si="122"/>
        <v>0</v>
      </c>
      <c r="N76" s="177">
        <f t="shared" si="122"/>
        <v>524999.69999999995</v>
      </c>
      <c r="O76" s="178"/>
      <c r="P76" s="177">
        <f t="shared" si="122"/>
        <v>-12730</v>
      </c>
      <c r="Q76" s="177">
        <f t="shared" si="122"/>
        <v>512269.6</v>
      </c>
      <c r="R76" s="178" t="s">
        <v>378</v>
      </c>
      <c r="S76" s="177">
        <f t="shared" si="122"/>
        <v>-109553.4</v>
      </c>
      <c r="T76" s="179">
        <f t="shared" si="122"/>
        <v>402716.19999999995</v>
      </c>
      <c r="U76" s="180" t="s">
        <v>473</v>
      </c>
    </row>
    <row r="77" spans="1:21" ht="103.5" hidden="1" customHeight="1" outlineLevel="1" x14ac:dyDescent="0.2">
      <c r="A77" s="81"/>
      <c r="B77" s="181" t="s">
        <v>216</v>
      </c>
      <c r="C77" s="182" t="s">
        <v>27</v>
      </c>
      <c r="D77" s="182">
        <v>4</v>
      </c>
      <c r="E77" s="182" t="s">
        <v>8</v>
      </c>
      <c r="F77" s="183">
        <v>0</v>
      </c>
      <c r="G77" s="183">
        <v>35169.4</v>
      </c>
      <c r="H77" s="183">
        <f>SUM(F77:G77)</f>
        <v>35169.4</v>
      </c>
      <c r="I77" s="184" t="s">
        <v>185</v>
      </c>
      <c r="J77" s="183">
        <f>22580.6+467249.7</f>
        <v>489830.3</v>
      </c>
      <c r="K77" s="183">
        <f>SUM(H77,J77)</f>
        <v>524999.69999999995</v>
      </c>
      <c r="L77" s="184" t="s">
        <v>227</v>
      </c>
      <c r="M77" s="183"/>
      <c r="N77" s="183">
        <f>SUM(K77,M77)</f>
        <v>524999.69999999995</v>
      </c>
      <c r="O77" s="184"/>
      <c r="P77" s="183">
        <v>-12730</v>
      </c>
      <c r="Q77" s="183">
        <f>SUM(N77,P77)-0.1</f>
        <v>512269.6</v>
      </c>
      <c r="R77" s="184" t="s">
        <v>378</v>
      </c>
      <c r="S77" s="183">
        <f>-108832.2-721.2</f>
        <v>-109553.4</v>
      </c>
      <c r="T77" s="185">
        <f>SUM(Q77,S77)</f>
        <v>402716.19999999995</v>
      </c>
      <c r="U77" s="196" t="s">
        <v>476</v>
      </c>
    </row>
    <row r="78" spans="1:21" s="77" customFormat="1" ht="92.25" customHeight="1" collapsed="1" x14ac:dyDescent="0.25">
      <c r="A78" s="75"/>
      <c r="B78" s="169" t="s">
        <v>96</v>
      </c>
      <c r="C78" s="170" t="s">
        <v>26</v>
      </c>
      <c r="D78" s="170" t="s">
        <v>3</v>
      </c>
      <c r="E78" s="170" t="s">
        <v>3</v>
      </c>
      <c r="F78" s="171">
        <f>SUM(F79:F81)</f>
        <v>33896.400000000001</v>
      </c>
      <c r="G78" s="171">
        <f t="shared" ref="G78:H78" si="123">SUM(G79:G81)</f>
        <v>0</v>
      </c>
      <c r="H78" s="171">
        <f t="shared" si="123"/>
        <v>33896.400000000001</v>
      </c>
      <c r="I78" s="171"/>
      <c r="J78" s="171">
        <f t="shared" ref="J78:K78" si="124">SUM(J79:J81)</f>
        <v>0</v>
      </c>
      <c r="K78" s="171">
        <f t="shared" si="124"/>
        <v>33896.400000000001</v>
      </c>
      <c r="L78" s="172"/>
      <c r="M78" s="171">
        <f t="shared" ref="M78:N78" si="125">SUM(M79:M81)</f>
        <v>0</v>
      </c>
      <c r="N78" s="171">
        <f t="shared" si="125"/>
        <v>33896.400000000001</v>
      </c>
      <c r="O78" s="172"/>
      <c r="P78" s="171">
        <f t="shared" ref="P78:Q78" si="126">SUM(P79:P81)</f>
        <v>594</v>
      </c>
      <c r="Q78" s="171">
        <f t="shared" si="126"/>
        <v>34490.400000000001</v>
      </c>
      <c r="R78" s="187" t="s">
        <v>405</v>
      </c>
      <c r="S78" s="171">
        <f t="shared" ref="S78:T78" si="127">SUM(S79:S81)</f>
        <v>-167.60000000000002</v>
      </c>
      <c r="T78" s="173">
        <f t="shared" si="127"/>
        <v>34322.800000000003</v>
      </c>
      <c r="U78" s="174" t="s">
        <v>455</v>
      </c>
    </row>
    <row r="79" spans="1:21" ht="69" hidden="1" customHeight="1" outlineLevel="1" x14ac:dyDescent="0.2">
      <c r="A79" s="81"/>
      <c r="B79" s="181" t="s">
        <v>97</v>
      </c>
      <c r="C79" s="182" t="s">
        <v>26</v>
      </c>
      <c r="D79" s="182" t="s">
        <v>1</v>
      </c>
      <c r="E79" s="182" t="s">
        <v>8</v>
      </c>
      <c r="F79" s="183">
        <v>3000</v>
      </c>
      <c r="G79" s="183"/>
      <c r="H79" s="183">
        <f>SUM(F79:G79)</f>
        <v>3000</v>
      </c>
      <c r="I79" s="183"/>
      <c r="J79" s="183"/>
      <c r="K79" s="183">
        <f t="shared" ref="K79:K81" si="128">SUM(H79,J79)</f>
        <v>3000</v>
      </c>
      <c r="L79" s="184"/>
      <c r="M79" s="183">
        <v>-403.2</v>
      </c>
      <c r="N79" s="183">
        <f t="shared" ref="N79:N81" si="129">SUM(K79,M79)</f>
        <v>2596.8000000000002</v>
      </c>
      <c r="O79" s="184" t="s">
        <v>266</v>
      </c>
      <c r="P79" s="183">
        <f>400+500</f>
        <v>900</v>
      </c>
      <c r="Q79" s="183">
        <f t="shared" ref="Q79:Q81" si="130">SUM(N79,P79)</f>
        <v>3496.8</v>
      </c>
      <c r="R79" s="201" t="s">
        <v>404</v>
      </c>
      <c r="S79" s="183">
        <f>600</f>
        <v>600</v>
      </c>
      <c r="T79" s="185">
        <f t="shared" ref="T79:T81" si="131">SUM(Q79,S79)</f>
        <v>4096.8</v>
      </c>
      <c r="U79" s="186" t="s">
        <v>449</v>
      </c>
    </row>
    <row r="80" spans="1:21" ht="57" hidden="1" customHeight="1" outlineLevel="1" x14ac:dyDescent="0.2">
      <c r="A80" s="81"/>
      <c r="B80" s="181" t="s">
        <v>98</v>
      </c>
      <c r="C80" s="182" t="s">
        <v>26</v>
      </c>
      <c r="D80" s="182" t="s">
        <v>1</v>
      </c>
      <c r="E80" s="182" t="s">
        <v>7</v>
      </c>
      <c r="F80" s="183">
        <v>29896.400000000001</v>
      </c>
      <c r="G80" s="183"/>
      <c r="H80" s="183">
        <f t="shared" ref="H80:H81" si="132">SUM(F80:G80)</f>
        <v>29896.400000000001</v>
      </c>
      <c r="I80" s="183"/>
      <c r="J80" s="183"/>
      <c r="K80" s="183">
        <f t="shared" si="128"/>
        <v>29896.400000000001</v>
      </c>
      <c r="L80" s="184"/>
      <c r="M80" s="183"/>
      <c r="N80" s="183">
        <f t="shared" si="129"/>
        <v>29896.400000000001</v>
      </c>
      <c r="O80" s="184"/>
      <c r="P80" s="183">
        <f>-306</f>
        <v>-306</v>
      </c>
      <c r="Q80" s="183">
        <f t="shared" si="130"/>
        <v>29590.400000000001</v>
      </c>
      <c r="R80" s="201" t="s">
        <v>360</v>
      </c>
      <c r="S80" s="183">
        <f>-767.6</f>
        <v>-767.6</v>
      </c>
      <c r="T80" s="185">
        <f t="shared" si="131"/>
        <v>28822.800000000003</v>
      </c>
      <c r="U80" s="186" t="s">
        <v>450</v>
      </c>
    </row>
    <row r="81" spans="1:21" ht="39" hidden="1" customHeight="1" outlineLevel="1" x14ac:dyDescent="0.2">
      <c r="A81" s="81"/>
      <c r="B81" s="181" t="s">
        <v>99</v>
      </c>
      <c r="C81" s="182" t="s">
        <v>26</v>
      </c>
      <c r="D81" s="182" t="s">
        <v>1</v>
      </c>
      <c r="E81" s="182" t="s">
        <v>13</v>
      </c>
      <c r="F81" s="183">
        <v>1000</v>
      </c>
      <c r="G81" s="183"/>
      <c r="H81" s="183">
        <f t="shared" si="132"/>
        <v>1000</v>
      </c>
      <c r="I81" s="183"/>
      <c r="J81" s="183"/>
      <c r="K81" s="183">
        <f t="shared" si="128"/>
        <v>1000</v>
      </c>
      <c r="L81" s="184"/>
      <c r="M81" s="183">
        <f>403.2</f>
        <v>403.2</v>
      </c>
      <c r="N81" s="183">
        <f t="shared" si="129"/>
        <v>1403.2</v>
      </c>
      <c r="O81" s="184" t="s">
        <v>267</v>
      </c>
      <c r="P81" s="183"/>
      <c r="Q81" s="183">
        <f t="shared" si="130"/>
        <v>1403.2</v>
      </c>
      <c r="R81" s="184"/>
      <c r="S81" s="183"/>
      <c r="T81" s="185">
        <f t="shared" si="131"/>
        <v>1403.2</v>
      </c>
      <c r="U81" s="186"/>
    </row>
    <row r="82" spans="1:21" s="77" customFormat="1" ht="35.25" customHeight="1" collapsed="1" x14ac:dyDescent="0.25">
      <c r="A82" s="75"/>
      <c r="B82" s="169" t="s">
        <v>100</v>
      </c>
      <c r="C82" s="170" t="s">
        <v>25</v>
      </c>
      <c r="D82" s="170" t="s">
        <v>3</v>
      </c>
      <c r="E82" s="170" t="s">
        <v>3</v>
      </c>
      <c r="F82" s="171">
        <f>SUM(F83,F86,F88)</f>
        <v>153167.79999999999</v>
      </c>
      <c r="G82" s="171">
        <f>SUM(G83,G86,G88)</f>
        <v>61552.100000000006</v>
      </c>
      <c r="H82" s="171">
        <f>SUM(H83,H86,H88)</f>
        <v>214719.90000000002</v>
      </c>
      <c r="I82" s="171"/>
      <c r="J82" s="171">
        <f>SUM(J83,J86,J88)</f>
        <v>4213.8</v>
      </c>
      <c r="K82" s="171">
        <f>SUM(K83,K86,K88)</f>
        <v>218933.7</v>
      </c>
      <c r="L82" s="172"/>
      <c r="M82" s="171">
        <f>SUM(M83,M86,M88)</f>
        <v>980.19</v>
      </c>
      <c r="N82" s="171">
        <f>SUM(N83,N86,N88)</f>
        <v>219913.89</v>
      </c>
      <c r="O82" s="172"/>
      <c r="P82" s="171">
        <f>SUM(P83,P86,P88)</f>
        <v>6970.0999999999995</v>
      </c>
      <c r="Q82" s="171">
        <f>SUM(Q83,Q86,Q88)</f>
        <v>226883.99000000002</v>
      </c>
      <c r="R82" s="172"/>
      <c r="S82" s="171">
        <f>SUM(S83,S86,S88)</f>
        <v>0</v>
      </c>
      <c r="T82" s="173">
        <f>SUM(T83,T86,T88)</f>
        <v>226883.99000000002</v>
      </c>
      <c r="U82" s="174"/>
    </row>
    <row r="83" spans="1:21" s="80" customFormat="1" ht="51" customHeight="1" x14ac:dyDescent="0.2">
      <c r="A83" s="78"/>
      <c r="B83" s="175" t="s">
        <v>101</v>
      </c>
      <c r="C83" s="176" t="s">
        <v>25</v>
      </c>
      <c r="D83" s="176" t="s">
        <v>12</v>
      </c>
      <c r="E83" s="176" t="s">
        <v>3</v>
      </c>
      <c r="F83" s="177">
        <f>SUM(F84:F85)</f>
        <v>48469.8</v>
      </c>
      <c r="G83" s="177">
        <f>SUM(G84:G85)</f>
        <v>0</v>
      </c>
      <c r="H83" s="177">
        <f>SUM(H84:H85)</f>
        <v>48469.8</v>
      </c>
      <c r="I83" s="177"/>
      <c r="J83" s="177">
        <f>SUM(J84:J85)</f>
        <v>4313.3</v>
      </c>
      <c r="K83" s="177">
        <f>SUM(K84:K85)</f>
        <v>52783.100000000006</v>
      </c>
      <c r="L83" s="178" t="s">
        <v>218</v>
      </c>
      <c r="M83" s="177">
        <f>SUM(M84:M85)</f>
        <v>1079.69</v>
      </c>
      <c r="N83" s="177">
        <f>SUM(N84:N85)</f>
        <v>53862.790000000008</v>
      </c>
      <c r="O83" s="178" t="s">
        <v>303</v>
      </c>
      <c r="P83" s="177">
        <f>SUM(P84:P85)</f>
        <v>-28.1</v>
      </c>
      <c r="Q83" s="177">
        <f>SUM(Q84:Q85)</f>
        <v>53834.69</v>
      </c>
      <c r="R83" s="178" t="s">
        <v>379</v>
      </c>
      <c r="S83" s="177">
        <f>SUM(S84:S85)</f>
        <v>0</v>
      </c>
      <c r="T83" s="179">
        <f>SUM(T84:T85)</f>
        <v>53834.69</v>
      </c>
      <c r="U83" s="180"/>
    </row>
    <row r="84" spans="1:21" ht="105" hidden="1" customHeight="1" outlineLevel="1" x14ac:dyDescent="0.2">
      <c r="A84" s="81"/>
      <c r="B84" s="181" t="s">
        <v>102</v>
      </c>
      <c r="C84" s="182" t="s">
        <v>25</v>
      </c>
      <c r="D84" s="182" t="s">
        <v>12</v>
      </c>
      <c r="E84" s="182" t="s">
        <v>8</v>
      </c>
      <c r="F84" s="183">
        <v>40969.800000000003</v>
      </c>
      <c r="G84" s="183"/>
      <c r="H84" s="183">
        <f>SUM(F84:G84)</f>
        <v>40969.800000000003</v>
      </c>
      <c r="I84" s="183"/>
      <c r="J84" s="183">
        <f>99.5+4213.8</f>
        <v>4313.3</v>
      </c>
      <c r="K84" s="183">
        <f t="shared" ref="K84:K85" si="133">SUM(H84,J84)</f>
        <v>45283.100000000006</v>
      </c>
      <c r="L84" s="184" t="s">
        <v>217</v>
      </c>
      <c r="M84" s="183">
        <f>43+99.5</f>
        <v>142.5</v>
      </c>
      <c r="N84" s="183">
        <f t="shared" ref="N84:N85" si="134">SUM(K84,M84)</f>
        <v>45425.600000000006</v>
      </c>
      <c r="O84" s="184" t="s">
        <v>277</v>
      </c>
      <c r="P84" s="183">
        <f>-21.5</f>
        <v>-21.5</v>
      </c>
      <c r="Q84" s="183">
        <f>SUM(N84,P84)</f>
        <v>45404.100000000006</v>
      </c>
      <c r="R84" s="202" t="s">
        <v>364</v>
      </c>
      <c r="S84" s="183"/>
      <c r="T84" s="185">
        <f>SUM(Q84,S84)</f>
        <v>45404.100000000006</v>
      </c>
      <c r="U84" s="186"/>
    </row>
    <row r="85" spans="1:21" ht="104.25" hidden="1" customHeight="1" outlineLevel="1" x14ac:dyDescent="0.2">
      <c r="A85" s="81"/>
      <c r="B85" s="181" t="s">
        <v>103</v>
      </c>
      <c r="C85" s="182" t="s">
        <v>25</v>
      </c>
      <c r="D85" s="182" t="s">
        <v>12</v>
      </c>
      <c r="E85" s="182" t="s">
        <v>7</v>
      </c>
      <c r="F85" s="183">
        <v>7500</v>
      </c>
      <c r="G85" s="183"/>
      <c r="H85" s="183">
        <f>SUM(F85:G85)</f>
        <v>7500</v>
      </c>
      <c r="I85" s="183"/>
      <c r="J85" s="183"/>
      <c r="K85" s="183">
        <f t="shared" si="133"/>
        <v>7500</v>
      </c>
      <c r="L85" s="184"/>
      <c r="M85" s="183">
        <f>937.2-0.01</f>
        <v>937.19</v>
      </c>
      <c r="N85" s="183">
        <f t="shared" si="134"/>
        <v>8437.19</v>
      </c>
      <c r="O85" s="184" t="s">
        <v>276</v>
      </c>
      <c r="P85" s="183">
        <f>-6.6</f>
        <v>-6.6</v>
      </c>
      <c r="Q85" s="183">
        <f t="shared" ref="Q85" si="135">SUM(N85,P85)</f>
        <v>8430.59</v>
      </c>
      <c r="R85" s="203" t="s">
        <v>345</v>
      </c>
      <c r="S85" s="183"/>
      <c r="T85" s="185">
        <f t="shared" ref="T85" si="136">SUM(Q85,S85)</f>
        <v>8430.59</v>
      </c>
      <c r="U85" s="186"/>
    </row>
    <row r="86" spans="1:21" s="80" customFormat="1" ht="67.5" customHeight="1" collapsed="1" x14ac:dyDescent="0.2">
      <c r="A86" s="78"/>
      <c r="B86" s="175" t="s">
        <v>104</v>
      </c>
      <c r="C86" s="176" t="s">
        <v>25</v>
      </c>
      <c r="D86" s="176" t="s">
        <v>10</v>
      </c>
      <c r="E86" s="176" t="s">
        <v>3</v>
      </c>
      <c r="F86" s="177">
        <f>SUM(F87)</f>
        <v>103698</v>
      </c>
      <c r="G86" s="177">
        <f t="shared" ref="G86:T86" si="137">SUM(G87)</f>
        <v>61552.100000000006</v>
      </c>
      <c r="H86" s="177">
        <f t="shared" si="137"/>
        <v>165250.1</v>
      </c>
      <c r="I86" s="190" t="s">
        <v>199</v>
      </c>
      <c r="J86" s="177">
        <f t="shared" si="137"/>
        <v>0</v>
      </c>
      <c r="K86" s="177">
        <f t="shared" si="137"/>
        <v>165250.1</v>
      </c>
      <c r="L86" s="190"/>
      <c r="M86" s="177">
        <f t="shared" si="137"/>
        <v>0</v>
      </c>
      <c r="N86" s="177">
        <f t="shared" si="137"/>
        <v>165250.1</v>
      </c>
      <c r="O86" s="190"/>
      <c r="P86" s="177">
        <f t="shared" si="137"/>
        <v>7000</v>
      </c>
      <c r="Q86" s="177">
        <f t="shared" si="137"/>
        <v>172250.1</v>
      </c>
      <c r="R86" s="190" t="s">
        <v>369</v>
      </c>
      <c r="S86" s="177">
        <f t="shared" si="137"/>
        <v>0</v>
      </c>
      <c r="T86" s="179">
        <f t="shared" si="137"/>
        <v>172250.1</v>
      </c>
      <c r="U86" s="180"/>
    </row>
    <row r="87" spans="1:21" ht="45" hidden="1" customHeight="1" outlineLevel="1" x14ac:dyDescent="0.2">
      <c r="A87" s="81"/>
      <c r="B87" s="181" t="s">
        <v>105</v>
      </c>
      <c r="C87" s="182" t="s">
        <v>25</v>
      </c>
      <c r="D87" s="182" t="s">
        <v>10</v>
      </c>
      <c r="E87" s="182" t="s">
        <v>8</v>
      </c>
      <c r="F87" s="183">
        <v>103698</v>
      </c>
      <c r="G87" s="183">
        <f>81552.1-20000</f>
        <v>61552.100000000006</v>
      </c>
      <c r="H87" s="183">
        <f>SUM(F87:G87)</f>
        <v>165250.1</v>
      </c>
      <c r="I87" s="184" t="s">
        <v>198</v>
      </c>
      <c r="J87" s="183"/>
      <c r="K87" s="183">
        <f>SUM(H87,J87)</f>
        <v>165250.1</v>
      </c>
      <c r="L87" s="184"/>
      <c r="M87" s="183"/>
      <c r="N87" s="183">
        <f>SUM(K87,M87)</f>
        <v>165250.1</v>
      </c>
      <c r="O87" s="184"/>
      <c r="P87" s="183">
        <v>7000</v>
      </c>
      <c r="Q87" s="183">
        <f>SUM(N87,P87)</f>
        <v>172250.1</v>
      </c>
      <c r="R87" s="184" t="s">
        <v>369</v>
      </c>
      <c r="S87" s="183"/>
      <c r="T87" s="185">
        <f>SUM(Q87,S87)</f>
        <v>172250.1</v>
      </c>
      <c r="U87" s="186"/>
    </row>
    <row r="88" spans="1:21" s="80" customFormat="1" ht="53.25" customHeight="1" collapsed="1" x14ac:dyDescent="0.2">
      <c r="A88" s="78"/>
      <c r="B88" s="175" t="s">
        <v>106</v>
      </c>
      <c r="C88" s="176" t="s">
        <v>25</v>
      </c>
      <c r="D88" s="176" t="s">
        <v>14</v>
      </c>
      <c r="E88" s="176" t="s">
        <v>3</v>
      </c>
      <c r="F88" s="177">
        <f>SUM(F89)</f>
        <v>1000</v>
      </c>
      <c r="G88" s="177">
        <f t="shared" ref="G88:T88" si="138">SUM(G89)</f>
        <v>0</v>
      </c>
      <c r="H88" s="177">
        <f t="shared" si="138"/>
        <v>1000</v>
      </c>
      <c r="I88" s="177"/>
      <c r="J88" s="177">
        <f t="shared" si="138"/>
        <v>-99.5</v>
      </c>
      <c r="K88" s="177">
        <f t="shared" si="138"/>
        <v>900.5</v>
      </c>
      <c r="L88" s="178" t="s">
        <v>207</v>
      </c>
      <c r="M88" s="177">
        <f t="shared" si="138"/>
        <v>-99.5</v>
      </c>
      <c r="N88" s="177">
        <f t="shared" si="138"/>
        <v>801</v>
      </c>
      <c r="O88" s="178" t="s">
        <v>275</v>
      </c>
      <c r="P88" s="177">
        <f t="shared" si="138"/>
        <v>-1.8000000000000114</v>
      </c>
      <c r="Q88" s="177">
        <f t="shared" si="138"/>
        <v>799.2</v>
      </c>
      <c r="R88" s="178" t="s">
        <v>391</v>
      </c>
      <c r="S88" s="177">
        <f t="shared" si="138"/>
        <v>0</v>
      </c>
      <c r="T88" s="179">
        <f t="shared" si="138"/>
        <v>799.2</v>
      </c>
      <c r="U88" s="180"/>
    </row>
    <row r="89" spans="1:21" ht="130.5" hidden="1" customHeight="1" outlineLevel="1" x14ac:dyDescent="0.2">
      <c r="A89" s="81"/>
      <c r="B89" s="181" t="s">
        <v>107</v>
      </c>
      <c r="C89" s="182" t="s">
        <v>25</v>
      </c>
      <c r="D89" s="182" t="s">
        <v>14</v>
      </c>
      <c r="E89" s="182" t="s">
        <v>8</v>
      </c>
      <c r="F89" s="183">
        <v>1000</v>
      </c>
      <c r="G89" s="183"/>
      <c r="H89" s="183">
        <f>SUM(F89:G89)</f>
        <v>1000</v>
      </c>
      <c r="I89" s="183"/>
      <c r="J89" s="183">
        <v>-99.5</v>
      </c>
      <c r="K89" s="183">
        <f>SUM(H89,J89)</f>
        <v>900.5</v>
      </c>
      <c r="L89" s="184" t="s">
        <v>207</v>
      </c>
      <c r="M89" s="183">
        <f>-99.5</f>
        <v>-99.5</v>
      </c>
      <c r="N89" s="183">
        <f>SUM(K89,M89)</f>
        <v>801</v>
      </c>
      <c r="O89" s="184" t="s">
        <v>275</v>
      </c>
      <c r="P89" s="183">
        <f>-1.8+300-300</f>
        <v>-1.8000000000000114</v>
      </c>
      <c r="Q89" s="183">
        <f>SUM(N89,P89)</f>
        <v>799.2</v>
      </c>
      <c r="R89" s="203" t="s">
        <v>363</v>
      </c>
      <c r="S89" s="183"/>
      <c r="T89" s="185">
        <f>SUM(Q89,S89)</f>
        <v>799.2</v>
      </c>
      <c r="U89" s="186"/>
    </row>
    <row r="90" spans="1:21" s="77" customFormat="1" ht="64.5" customHeight="1" collapsed="1" x14ac:dyDescent="0.25">
      <c r="A90" s="75"/>
      <c r="B90" s="169" t="s">
        <v>108</v>
      </c>
      <c r="C90" s="170" t="s">
        <v>24</v>
      </c>
      <c r="D90" s="170" t="s">
        <v>3</v>
      </c>
      <c r="E90" s="170" t="s">
        <v>3</v>
      </c>
      <c r="F90" s="171">
        <f>SUM(F91,F95,F99,F101,F103)</f>
        <v>65444.2</v>
      </c>
      <c r="G90" s="171">
        <f t="shared" ref="G90:H90" si="139">SUM(G91,G95,G99,G101,G103)</f>
        <v>17159.599999999999</v>
      </c>
      <c r="H90" s="171">
        <f t="shared" si="139"/>
        <v>82603.899999999994</v>
      </c>
      <c r="I90" s="171"/>
      <c r="J90" s="171">
        <f t="shared" ref="J90:K90" si="140">SUM(J91,J95,J99,J101,J103)</f>
        <v>-983.89999999999986</v>
      </c>
      <c r="K90" s="171">
        <f t="shared" si="140"/>
        <v>81619.899999999994</v>
      </c>
      <c r="L90" s="172"/>
      <c r="M90" s="171">
        <f t="shared" ref="M90:N90" si="141">SUM(M91,M95,M99,M101,M103)</f>
        <v>7907.7999999999993</v>
      </c>
      <c r="N90" s="171">
        <f t="shared" si="141"/>
        <v>89527.7</v>
      </c>
      <c r="O90" s="172"/>
      <c r="P90" s="171">
        <f t="shared" ref="P90:Q90" si="142">SUM(P91,P95,P99,P101,P103)</f>
        <v>53.799999999999898</v>
      </c>
      <c r="Q90" s="171">
        <f t="shared" si="142"/>
        <v>89581.5</v>
      </c>
      <c r="R90" s="172"/>
      <c r="S90" s="171">
        <f t="shared" ref="S90:T90" si="143">SUM(S91,S95,S99,S101,S103)</f>
        <v>11391.3</v>
      </c>
      <c r="T90" s="173">
        <f t="shared" si="143"/>
        <v>100972.8</v>
      </c>
      <c r="U90" s="174"/>
    </row>
    <row r="91" spans="1:21" s="80" customFormat="1" ht="45.75" customHeight="1" x14ac:dyDescent="0.2">
      <c r="A91" s="78"/>
      <c r="B91" s="175" t="s">
        <v>109</v>
      </c>
      <c r="C91" s="176" t="s">
        <v>24</v>
      </c>
      <c r="D91" s="176" t="s">
        <v>12</v>
      </c>
      <c r="E91" s="176" t="s">
        <v>3</v>
      </c>
      <c r="F91" s="177">
        <f>SUM(F92:F94)</f>
        <v>39382.5</v>
      </c>
      <c r="G91" s="177">
        <f t="shared" ref="G91" si="144">SUM(G92:G93)</f>
        <v>0</v>
      </c>
      <c r="H91" s="177">
        <f>SUM(H92:J94)</f>
        <v>39382.6</v>
      </c>
      <c r="I91" s="177"/>
      <c r="J91" s="177">
        <f t="shared" ref="J91" si="145">SUM(J92:J93)</f>
        <v>0.1</v>
      </c>
      <c r="K91" s="177">
        <f>SUM(K92:L94)</f>
        <v>39382.6</v>
      </c>
      <c r="L91" s="178" t="s">
        <v>225</v>
      </c>
      <c r="M91" s="177">
        <f>SUM(M92:M94)</f>
        <v>9202.7999999999993</v>
      </c>
      <c r="N91" s="177">
        <f>SUM(N92:N94)</f>
        <v>48585.4</v>
      </c>
      <c r="O91" s="178" t="s">
        <v>317</v>
      </c>
      <c r="P91" s="177">
        <f>SUM(P92:P94)</f>
        <v>851.4</v>
      </c>
      <c r="Q91" s="177">
        <f>SUM(Q92:Q94)</f>
        <v>49436.800000000003</v>
      </c>
      <c r="R91" s="178" t="s">
        <v>396</v>
      </c>
      <c r="S91" s="177">
        <f>SUM(S92:S94)</f>
        <v>-288.39999999999998</v>
      </c>
      <c r="T91" s="179">
        <f>SUM(T92:T94)</f>
        <v>49148.4</v>
      </c>
      <c r="U91" s="180" t="s">
        <v>423</v>
      </c>
    </row>
    <row r="92" spans="1:21" ht="63.75" hidden="1" customHeight="1" outlineLevel="1" x14ac:dyDescent="0.2">
      <c r="A92" s="81"/>
      <c r="B92" s="181" t="s">
        <v>110</v>
      </c>
      <c r="C92" s="182" t="s">
        <v>24</v>
      </c>
      <c r="D92" s="182" t="s">
        <v>12</v>
      </c>
      <c r="E92" s="182" t="s">
        <v>8</v>
      </c>
      <c r="F92" s="183">
        <v>1382.5</v>
      </c>
      <c r="G92" s="183"/>
      <c r="H92" s="183">
        <f>SUM(F92:G92)</f>
        <v>1382.5</v>
      </c>
      <c r="I92" s="183"/>
      <c r="J92" s="183">
        <f>0.1</f>
        <v>0.1</v>
      </c>
      <c r="K92" s="183">
        <f t="shared" ref="K92:K93" si="146">SUM(H92,J92)</f>
        <v>1382.6</v>
      </c>
      <c r="L92" s="184" t="s">
        <v>225</v>
      </c>
      <c r="M92" s="183"/>
      <c r="N92" s="183">
        <f t="shared" ref="N92:N94" si="147">SUM(K92,M92)</f>
        <v>1382.6</v>
      </c>
      <c r="O92" s="184"/>
      <c r="P92" s="204"/>
      <c r="Q92" s="204">
        <f t="shared" ref="Q92:Q94" si="148">SUM(N92,P92)</f>
        <v>1382.6</v>
      </c>
      <c r="R92" s="200"/>
      <c r="S92" s="204">
        <f>-288.4</f>
        <v>-288.39999999999998</v>
      </c>
      <c r="T92" s="205">
        <f t="shared" ref="T92:T94" si="149">SUM(Q92,S92)</f>
        <v>1094.1999999999998</v>
      </c>
      <c r="U92" s="186" t="s">
        <v>423</v>
      </c>
    </row>
    <row r="93" spans="1:21" ht="39.75" hidden="1" customHeight="1" outlineLevel="1" x14ac:dyDescent="0.2">
      <c r="A93" s="81"/>
      <c r="B93" s="181" t="s">
        <v>111</v>
      </c>
      <c r="C93" s="182" t="s">
        <v>24</v>
      </c>
      <c r="D93" s="182" t="s">
        <v>12</v>
      </c>
      <c r="E93" s="182" t="s">
        <v>7</v>
      </c>
      <c r="F93" s="183">
        <v>38000</v>
      </c>
      <c r="G93" s="183"/>
      <c r="H93" s="183">
        <f>SUM(F93:G93)</f>
        <v>38000</v>
      </c>
      <c r="I93" s="183"/>
      <c r="J93" s="183"/>
      <c r="K93" s="183">
        <f t="shared" si="146"/>
        <v>38000</v>
      </c>
      <c r="L93" s="184"/>
      <c r="M93" s="183">
        <f>-327.2-22.3-4.7-413.1-176.1+200-831.4+2123.6</f>
        <v>548.79999999999995</v>
      </c>
      <c r="N93" s="183">
        <f t="shared" si="147"/>
        <v>38548.800000000003</v>
      </c>
      <c r="O93" s="184" t="s">
        <v>316</v>
      </c>
      <c r="P93" s="204">
        <f>-270+417-85.1+300-39.4+200-2052.5+1250+1056.5</f>
        <v>776.5</v>
      </c>
      <c r="Q93" s="204">
        <f t="shared" si="148"/>
        <v>39325.300000000003</v>
      </c>
      <c r="R93" s="206" t="s">
        <v>384</v>
      </c>
      <c r="S93" s="204"/>
      <c r="T93" s="205">
        <f t="shared" si="149"/>
        <v>39325.300000000003</v>
      </c>
      <c r="U93" s="207"/>
    </row>
    <row r="94" spans="1:21" ht="55.5" hidden="1" customHeight="1" outlineLevel="1" x14ac:dyDescent="0.2">
      <c r="A94" s="81"/>
      <c r="B94" s="181" t="s">
        <v>295</v>
      </c>
      <c r="C94" s="182" t="s">
        <v>24</v>
      </c>
      <c r="D94" s="182" t="s">
        <v>12</v>
      </c>
      <c r="E94" s="189" t="s">
        <v>13</v>
      </c>
      <c r="F94" s="183">
        <v>0</v>
      </c>
      <c r="G94" s="183"/>
      <c r="H94" s="183">
        <v>0</v>
      </c>
      <c r="I94" s="183"/>
      <c r="J94" s="183"/>
      <c r="K94" s="183">
        <v>0</v>
      </c>
      <c r="L94" s="184"/>
      <c r="M94" s="183">
        <v>8654</v>
      </c>
      <c r="N94" s="183">
        <f t="shared" si="147"/>
        <v>8654</v>
      </c>
      <c r="O94" s="184" t="s">
        <v>296</v>
      </c>
      <c r="P94" s="183">
        <f>74.9</f>
        <v>74.900000000000006</v>
      </c>
      <c r="Q94" s="183">
        <f t="shared" si="148"/>
        <v>8728.9</v>
      </c>
      <c r="R94" s="184" t="s">
        <v>344</v>
      </c>
      <c r="S94" s="183"/>
      <c r="T94" s="185">
        <f t="shared" si="149"/>
        <v>8728.9</v>
      </c>
      <c r="U94" s="186"/>
    </row>
    <row r="95" spans="1:21" s="80" customFormat="1" ht="138" customHeight="1" collapsed="1" x14ac:dyDescent="0.2">
      <c r="A95" s="78"/>
      <c r="B95" s="175" t="s">
        <v>112</v>
      </c>
      <c r="C95" s="176" t="s">
        <v>24</v>
      </c>
      <c r="D95" s="176" t="s">
        <v>10</v>
      </c>
      <c r="E95" s="176" t="s">
        <v>3</v>
      </c>
      <c r="F95" s="177">
        <f>SUM(F96:F98)</f>
        <v>22761.7</v>
      </c>
      <c r="G95" s="177">
        <f t="shared" ref="G95:H95" si="150">SUM(G96:G98)</f>
        <v>17159.599999999999</v>
      </c>
      <c r="H95" s="177">
        <f t="shared" si="150"/>
        <v>39921.299999999996</v>
      </c>
      <c r="I95" s="178" t="s">
        <v>200</v>
      </c>
      <c r="J95" s="177">
        <f t="shared" ref="J95:K95" si="151">SUM(J96:J98)</f>
        <v>-983.99999999999989</v>
      </c>
      <c r="K95" s="177">
        <f t="shared" si="151"/>
        <v>38937.299999999996</v>
      </c>
      <c r="L95" s="178" t="s">
        <v>223</v>
      </c>
      <c r="M95" s="177">
        <f t="shared" ref="M95:N95" si="152">SUM(M96:M98)</f>
        <v>-1295</v>
      </c>
      <c r="N95" s="177">
        <f t="shared" si="152"/>
        <v>37642.299999999996</v>
      </c>
      <c r="O95" s="178" t="s">
        <v>323</v>
      </c>
      <c r="P95" s="177">
        <f t="shared" ref="P95:Q95" si="153">SUM(P96:P98)</f>
        <v>-512.90000000000009</v>
      </c>
      <c r="Q95" s="177">
        <f t="shared" si="153"/>
        <v>37129.399999999994</v>
      </c>
      <c r="R95" s="178" t="s">
        <v>392</v>
      </c>
      <c r="S95" s="177">
        <f t="shared" ref="S95:T95" si="154">SUM(S96:S98)</f>
        <v>11679.699999999999</v>
      </c>
      <c r="T95" s="179">
        <f t="shared" si="154"/>
        <v>48809.1</v>
      </c>
      <c r="U95" s="180" t="s">
        <v>474</v>
      </c>
    </row>
    <row r="96" spans="1:21" ht="82.5" hidden="1" customHeight="1" outlineLevel="1" x14ac:dyDescent="0.2">
      <c r="A96" s="81"/>
      <c r="B96" s="181" t="s">
        <v>113</v>
      </c>
      <c r="C96" s="182" t="s">
        <v>24</v>
      </c>
      <c r="D96" s="182" t="s">
        <v>10</v>
      </c>
      <c r="E96" s="182" t="s">
        <v>8</v>
      </c>
      <c r="F96" s="183">
        <v>10682.6</v>
      </c>
      <c r="G96" s="183">
        <f>2159.6+15000</f>
        <v>17159.599999999999</v>
      </c>
      <c r="H96" s="183">
        <f>SUM(F96:G96)</f>
        <v>27842.199999999997</v>
      </c>
      <c r="I96" s="184" t="s">
        <v>200</v>
      </c>
      <c r="J96" s="183">
        <f>-1386.6+402.6</f>
        <v>-983.99999999999989</v>
      </c>
      <c r="K96" s="183">
        <f t="shared" ref="K96:K98" si="155">SUM(H96,J96)</f>
        <v>26858.199999999997</v>
      </c>
      <c r="L96" s="184" t="s">
        <v>222</v>
      </c>
      <c r="M96" s="183">
        <f>-2.8-1292.2</f>
        <v>-1295</v>
      </c>
      <c r="N96" s="183">
        <f t="shared" ref="N96:N98" si="156">SUM(K96,M96)</f>
        <v>25563.199999999997</v>
      </c>
      <c r="O96" s="184" t="s">
        <v>318</v>
      </c>
      <c r="P96" s="183">
        <f>-677.7-297.3</f>
        <v>-975</v>
      </c>
      <c r="Q96" s="183">
        <f t="shared" ref="Q96:Q98" si="157">SUM(N96,P96)</f>
        <v>24588.199999999997</v>
      </c>
      <c r="R96" s="208" t="s">
        <v>365</v>
      </c>
      <c r="S96" s="183">
        <v>12760.9</v>
      </c>
      <c r="T96" s="185">
        <f t="shared" ref="T96:T98" si="158">SUM(Q96,S96)</f>
        <v>37349.1</v>
      </c>
      <c r="U96" s="196" t="s">
        <v>433</v>
      </c>
    </row>
    <row r="97" spans="1:21" ht="75.75" hidden="1" customHeight="1" outlineLevel="1" x14ac:dyDescent="0.2">
      <c r="A97" s="81"/>
      <c r="B97" s="181" t="s">
        <v>114</v>
      </c>
      <c r="C97" s="182" t="s">
        <v>24</v>
      </c>
      <c r="D97" s="182" t="s">
        <v>10</v>
      </c>
      <c r="E97" s="182" t="s">
        <v>7</v>
      </c>
      <c r="F97" s="183">
        <v>4300</v>
      </c>
      <c r="G97" s="183"/>
      <c r="H97" s="183">
        <f t="shared" ref="H97:H98" si="159">SUM(F97:G97)</f>
        <v>4300</v>
      </c>
      <c r="I97" s="183"/>
      <c r="J97" s="183"/>
      <c r="K97" s="183">
        <f t="shared" si="155"/>
        <v>4300</v>
      </c>
      <c r="L97" s="184"/>
      <c r="M97" s="183"/>
      <c r="N97" s="183">
        <f t="shared" si="156"/>
        <v>4300</v>
      </c>
      <c r="O97" s="184"/>
      <c r="P97" s="183">
        <f>79.1+2618.9</f>
        <v>2698</v>
      </c>
      <c r="Q97" s="183">
        <f t="shared" si="157"/>
        <v>6998</v>
      </c>
      <c r="R97" s="184" t="s">
        <v>370</v>
      </c>
      <c r="S97" s="183"/>
      <c r="T97" s="185">
        <f t="shared" si="158"/>
        <v>6998</v>
      </c>
      <c r="U97" s="186"/>
    </row>
    <row r="98" spans="1:21" ht="110.25" hidden="1" customHeight="1" outlineLevel="1" x14ac:dyDescent="0.2">
      <c r="A98" s="81"/>
      <c r="B98" s="181" t="s">
        <v>115</v>
      </c>
      <c r="C98" s="182" t="s">
        <v>24</v>
      </c>
      <c r="D98" s="182" t="s">
        <v>10</v>
      </c>
      <c r="E98" s="182" t="s">
        <v>13</v>
      </c>
      <c r="F98" s="183">
        <v>7779.1</v>
      </c>
      <c r="G98" s="183"/>
      <c r="H98" s="183">
        <f t="shared" si="159"/>
        <v>7779.1</v>
      </c>
      <c r="I98" s="183"/>
      <c r="J98" s="183"/>
      <c r="K98" s="183">
        <f t="shared" si="155"/>
        <v>7779.1</v>
      </c>
      <c r="L98" s="184"/>
      <c r="M98" s="183"/>
      <c r="N98" s="183">
        <f t="shared" si="156"/>
        <v>7779.1</v>
      </c>
      <c r="O98" s="184"/>
      <c r="P98" s="183">
        <v>-2235.9</v>
      </c>
      <c r="Q98" s="183">
        <f t="shared" si="157"/>
        <v>5543.2000000000007</v>
      </c>
      <c r="R98" s="184" t="s">
        <v>381</v>
      </c>
      <c r="S98" s="183">
        <v>-1081.2</v>
      </c>
      <c r="T98" s="183">
        <f t="shared" si="158"/>
        <v>4462.0000000000009</v>
      </c>
      <c r="U98" s="196" t="s">
        <v>454</v>
      </c>
    </row>
    <row r="99" spans="1:21" s="80" customFormat="1" ht="45" customHeight="1" collapsed="1" x14ac:dyDescent="0.2">
      <c r="A99" s="78"/>
      <c r="B99" s="175" t="s">
        <v>116</v>
      </c>
      <c r="C99" s="176" t="s">
        <v>24</v>
      </c>
      <c r="D99" s="176" t="s">
        <v>14</v>
      </c>
      <c r="E99" s="176" t="s">
        <v>3</v>
      </c>
      <c r="F99" s="177">
        <f>SUM(F100)</f>
        <v>100</v>
      </c>
      <c r="G99" s="177">
        <f t="shared" ref="G99:T99" si="160">SUM(G100)</f>
        <v>0</v>
      </c>
      <c r="H99" s="177">
        <f t="shared" si="160"/>
        <v>100</v>
      </c>
      <c r="I99" s="177"/>
      <c r="J99" s="177">
        <f t="shared" si="160"/>
        <v>0</v>
      </c>
      <c r="K99" s="177">
        <f t="shared" si="160"/>
        <v>100</v>
      </c>
      <c r="L99" s="178"/>
      <c r="M99" s="177">
        <f t="shared" si="160"/>
        <v>0</v>
      </c>
      <c r="N99" s="177">
        <f t="shared" si="160"/>
        <v>100</v>
      </c>
      <c r="O99" s="178"/>
      <c r="P99" s="177">
        <f t="shared" si="160"/>
        <v>-90.2</v>
      </c>
      <c r="Q99" s="177">
        <f t="shared" si="160"/>
        <v>9.7999999999999972</v>
      </c>
      <c r="R99" s="178" t="s">
        <v>355</v>
      </c>
      <c r="S99" s="177">
        <f t="shared" si="160"/>
        <v>0</v>
      </c>
      <c r="T99" s="179">
        <f t="shared" si="160"/>
        <v>9.7999999999999972</v>
      </c>
      <c r="U99" s="180"/>
    </row>
    <row r="100" spans="1:21" ht="36" hidden="1" customHeight="1" outlineLevel="1" x14ac:dyDescent="0.2">
      <c r="A100" s="81"/>
      <c r="B100" s="181" t="s">
        <v>117</v>
      </c>
      <c r="C100" s="182" t="s">
        <v>24</v>
      </c>
      <c r="D100" s="182" t="s">
        <v>14</v>
      </c>
      <c r="E100" s="182" t="s">
        <v>8</v>
      </c>
      <c r="F100" s="183">
        <v>100</v>
      </c>
      <c r="G100" s="183"/>
      <c r="H100" s="183">
        <f>SUM(F100:G100)</f>
        <v>100</v>
      </c>
      <c r="I100" s="183"/>
      <c r="J100" s="183"/>
      <c r="K100" s="183">
        <f>SUM(H100,J100)</f>
        <v>100</v>
      </c>
      <c r="L100" s="184"/>
      <c r="M100" s="183"/>
      <c r="N100" s="183">
        <f>SUM(K100,M100)</f>
        <v>100</v>
      </c>
      <c r="O100" s="184"/>
      <c r="P100" s="183">
        <f>-33-57.2</f>
        <v>-90.2</v>
      </c>
      <c r="Q100" s="183">
        <f>SUM(N100,P100)</f>
        <v>9.7999999999999972</v>
      </c>
      <c r="R100" s="184" t="s">
        <v>355</v>
      </c>
      <c r="S100" s="183"/>
      <c r="T100" s="185">
        <f>SUM(Q100,S100)</f>
        <v>9.7999999999999972</v>
      </c>
      <c r="U100" s="186"/>
    </row>
    <row r="101" spans="1:21" s="80" customFormat="1" ht="50.25" customHeight="1" collapsed="1" x14ac:dyDescent="0.2">
      <c r="A101" s="78"/>
      <c r="B101" s="175" t="s">
        <v>118</v>
      </c>
      <c r="C101" s="176" t="s">
        <v>24</v>
      </c>
      <c r="D101" s="176" t="s">
        <v>17</v>
      </c>
      <c r="E101" s="176" t="s">
        <v>3</v>
      </c>
      <c r="F101" s="177">
        <f>SUM(F102)</f>
        <v>1500</v>
      </c>
      <c r="G101" s="177">
        <f t="shared" ref="G101:T101" si="161">SUM(G102)</f>
        <v>0</v>
      </c>
      <c r="H101" s="177">
        <f t="shared" si="161"/>
        <v>1500</v>
      </c>
      <c r="I101" s="177"/>
      <c r="J101" s="177">
        <f t="shared" si="161"/>
        <v>0</v>
      </c>
      <c r="K101" s="177">
        <f t="shared" si="161"/>
        <v>1500</v>
      </c>
      <c r="L101" s="178"/>
      <c r="M101" s="177">
        <f t="shared" si="161"/>
        <v>0</v>
      </c>
      <c r="N101" s="177">
        <f t="shared" si="161"/>
        <v>1500</v>
      </c>
      <c r="O101" s="178"/>
      <c r="P101" s="177">
        <f t="shared" si="161"/>
        <v>-194.5</v>
      </c>
      <c r="Q101" s="177">
        <f t="shared" si="161"/>
        <v>1305.5</v>
      </c>
      <c r="R101" s="178" t="s">
        <v>386</v>
      </c>
      <c r="S101" s="177">
        <f t="shared" si="161"/>
        <v>0</v>
      </c>
      <c r="T101" s="179">
        <f t="shared" si="161"/>
        <v>1305.5</v>
      </c>
      <c r="U101" s="180"/>
    </row>
    <row r="102" spans="1:21" ht="107.25" hidden="1" customHeight="1" outlineLevel="1" x14ac:dyDescent="0.2">
      <c r="A102" s="81"/>
      <c r="B102" s="181" t="s">
        <v>119</v>
      </c>
      <c r="C102" s="182" t="s">
        <v>24</v>
      </c>
      <c r="D102" s="182" t="s">
        <v>17</v>
      </c>
      <c r="E102" s="182" t="s">
        <v>8</v>
      </c>
      <c r="F102" s="183">
        <v>1500</v>
      </c>
      <c r="G102" s="183"/>
      <c r="H102" s="183">
        <f>SUM(F102:G102)</f>
        <v>1500</v>
      </c>
      <c r="I102" s="183"/>
      <c r="J102" s="183"/>
      <c r="K102" s="183">
        <f>SUM(H102,J102)</f>
        <v>1500</v>
      </c>
      <c r="L102" s="184"/>
      <c r="M102" s="183"/>
      <c r="N102" s="183">
        <f>SUM(K102,M102)</f>
        <v>1500</v>
      </c>
      <c r="O102" s="184"/>
      <c r="P102" s="183">
        <f>-194.5</f>
        <v>-194.5</v>
      </c>
      <c r="Q102" s="183">
        <f>SUM(N102,P102)</f>
        <v>1305.5</v>
      </c>
      <c r="R102" s="184" t="s">
        <v>385</v>
      </c>
      <c r="S102" s="183"/>
      <c r="T102" s="185">
        <f>SUM(Q102,S102)</f>
        <v>1305.5</v>
      </c>
      <c r="U102" s="186"/>
    </row>
    <row r="103" spans="1:21" s="80" customFormat="1" ht="42" customHeight="1" collapsed="1" x14ac:dyDescent="0.2">
      <c r="A103" s="78"/>
      <c r="B103" s="175" t="s">
        <v>120</v>
      </c>
      <c r="C103" s="176" t="s">
        <v>24</v>
      </c>
      <c r="D103" s="176" t="s">
        <v>23</v>
      </c>
      <c r="E103" s="176" t="s">
        <v>3</v>
      </c>
      <c r="F103" s="177">
        <f>SUM(F104)</f>
        <v>1700</v>
      </c>
      <c r="G103" s="177">
        <f t="shared" ref="G103:T103" si="162">SUM(G104)</f>
        <v>0</v>
      </c>
      <c r="H103" s="177">
        <f t="shared" si="162"/>
        <v>1700</v>
      </c>
      <c r="I103" s="177"/>
      <c r="J103" s="177">
        <f t="shared" si="162"/>
        <v>0</v>
      </c>
      <c r="K103" s="177">
        <f t="shared" si="162"/>
        <v>1700</v>
      </c>
      <c r="L103" s="178"/>
      <c r="M103" s="177">
        <f t="shared" si="162"/>
        <v>0</v>
      </c>
      <c r="N103" s="177">
        <f t="shared" si="162"/>
        <v>1700</v>
      </c>
      <c r="O103" s="178"/>
      <c r="P103" s="177">
        <f t="shared" si="162"/>
        <v>0</v>
      </c>
      <c r="Q103" s="177">
        <f t="shared" si="162"/>
        <v>1700</v>
      </c>
      <c r="R103" s="178"/>
      <c r="S103" s="177">
        <f t="shared" si="162"/>
        <v>0</v>
      </c>
      <c r="T103" s="179">
        <f t="shared" si="162"/>
        <v>1700</v>
      </c>
      <c r="U103" s="180"/>
    </row>
    <row r="104" spans="1:21" ht="43.5" hidden="1" customHeight="1" outlineLevel="1" x14ac:dyDescent="0.2">
      <c r="A104" s="81"/>
      <c r="B104" s="181" t="s">
        <v>121</v>
      </c>
      <c r="C104" s="182" t="s">
        <v>24</v>
      </c>
      <c r="D104" s="182" t="s">
        <v>23</v>
      </c>
      <c r="E104" s="182" t="s">
        <v>8</v>
      </c>
      <c r="F104" s="183">
        <v>1700</v>
      </c>
      <c r="G104" s="183"/>
      <c r="H104" s="183">
        <f>SUM(F104:G104)</f>
        <v>1700</v>
      </c>
      <c r="I104" s="183"/>
      <c r="J104" s="183"/>
      <c r="K104" s="183">
        <f>SUM(H104,J104)</f>
        <v>1700</v>
      </c>
      <c r="L104" s="184"/>
      <c r="M104" s="183"/>
      <c r="N104" s="183">
        <f>SUM(K104,M104)</f>
        <v>1700</v>
      </c>
      <c r="O104" s="184"/>
      <c r="P104" s="183"/>
      <c r="Q104" s="183">
        <f>SUM(N104,P104)</f>
        <v>1700</v>
      </c>
      <c r="R104" s="184"/>
      <c r="S104" s="183"/>
      <c r="T104" s="185">
        <f>SUM(Q104,S104)</f>
        <v>1700</v>
      </c>
      <c r="U104" s="186"/>
    </row>
    <row r="105" spans="1:21" s="77" customFormat="1" ht="46.5" customHeight="1" collapsed="1" x14ac:dyDescent="0.25">
      <c r="A105" s="75"/>
      <c r="B105" s="169" t="s">
        <v>122</v>
      </c>
      <c r="C105" s="170" t="s">
        <v>22</v>
      </c>
      <c r="D105" s="170" t="s">
        <v>3</v>
      </c>
      <c r="E105" s="170" t="s">
        <v>3</v>
      </c>
      <c r="F105" s="171">
        <f>SUM(F106)</f>
        <v>16192.2</v>
      </c>
      <c r="G105" s="171">
        <f t="shared" ref="G105:T105" si="163">SUM(G106)</f>
        <v>0</v>
      </c>
      <c r="H105" s="171">
        <f t="shared" si="163"/>
        <v>16192.2</v>
      </c>
      <c r="I105" s="171"/>
      <c r="J105" s="171">
        <f t="shared" si="163"/>
        <v>0</v>
      </c>
      <c r="K105" s="171">
        <f t="shared" si="163"/>
        <v>16192.2</v>
      </c>
      <c r="L105" s="172"/>
      <c r="M105" s="171">
        <f t="shared" si="163"/>
        <v>0</v>
      </c>
      <c r="N105" s="171">
        <f t="shared" si="163"/>
        <v>16192.2</v>
      </c>
      <c r="O105" s="172"/>
      <c r="P105" s="171">
        <f t="shared" si="163"/>
        <v>0</v>
      </c>
      <c r="Q105" s="171">
        <f t="shared" si="163"/>
        <v>16192.2</v>
      </c>
      <c r="R105" s="172"/>
      <c r="S105" s="171">
        <f t="shared" si="163"/>
        <v>-208.8</v>
      </c>
      <c r="T105" s="173">
        <f t="shared" si="163"/>
        <v>15983.400000000001</v>
      </c>
      <c r="U105" s="174" t="s">
        <v>422</v>
      </c>
    </row>
    <row r="106" spans="1:21" ht="42.75" hidden="1" customHeight="1" outlineLevel="1" x14ac:dyDescent="0.2">
      <c r="A106" s="81"/>
      <c r="B106" s="181" t="s">
        <v>123</v>
      </c>
      <c r="C106" s="182" t="s">
        <v>22</v>
      </c>
      <c r="D106" s="182" t="s">
        <v>1</v>
      </c>
      <c r="E106" s="182" t="s">
        <v>8</v>
      </c>
      <c r="F106" s="183">
        <v>16192.2</v>
      </c>
      <c r="G106" s="183"/>
      <c r="H106" s="183">
        <f>SUM(F106:G106)</f>
        <v>16192.2</v>
      </c>
      <c r="I106" s="183"/>
      <c r="J106" s="183"/>
      <c r="K106" s="183">
        <f>SUM(H106,J106)</f>
        <v>16192.2</v>
      </c>
      <c r="L106" s="184"/>
      <c r="M106" s="183"/>
      <c r="N106" s="183">
        <f>SUM(K106,M106)</f>
        <v>16192.2</v>
      </c>
      <c r="O106" s="184"/>
      <c r="P106" s="183"/>
      <c r="Q106" s="183">
        <f>SUM(N106,P106)</f>
        <v>16192.2</v>
      </c>
      <c r="R106" s="184"/>
      <c r="S106" s="183">
        <v>-208.8</v>
      </c>
      <c r="T106" s="185">
        <f>SUM(Q106,S106)</f>
        <v>15983.400000000001</v>
      </c>
      <c r="U106" s="186" t="s">
        <v>422</v>
      </c>
    </row>
    <row r="107" spans="1:21" s="77" customFormat="1" ht="65.25" customHeight="1" collapsed="1" x14ac:dyDescent="0.25">
      <c r="A107" s="75"/>
      <c r="B107" s="169" t="s">
        <v>124</v>
      </c>
      <c r="C107" s="170" t="s">
        <v>21</v>
      </c>
      <c r="D107" s="170" t="s">
        <v>3</v>
      </c>
      <c r="E107" s="170" t="s">
        <v>3</v>
      </c>
      <c r="F107" s="171">
        <f>SUM(F108:F109)</f>
        <v>687.5</v>
      </c>
      <c r="G107" s="171">
        <f t="shared" ref="G107:H107" si="164">SUM(G108:G109)</f>
        <v>0</v>
      </c>
      <c r="H107" s="171">
        <f t="shared" si="164"/>
        <v>687.5</v>
      </c>
      <c r="I107" s="171"/>
      <c r="J107" s="171">
        <f t="shared" ref="J107:K107" si="165">SUM(J108:J109)</f>
        <v>0</v>
      </c>
      <c r="K107" s="171">
        <f t="shared" si="165"/>
        <v>687.5</v>
      </c>
      <c r="L107" s="172"/>
      <c r="M107" s="171">
        <f t="shared" ref="M107:N107" si="166">SUM(M108:M109)</f>
        <v>0</v>
      </c>
      <c r="N107" s="171">
        <f t="shared" si="166"/>
        <v>687.5</v>
      </c>
      <c r="O107" s="172"/>
      <c r="P107" s="171">
        <f t="shared" ref="P107:Q107" si="167">SUM(P108:P109)</f>
        <v>-44.2</v>
      </c>
      <c r="Q107" s="171">
        <f t="shared" si="167"/>
        <v>643.29999999999995</v>
      </c>
      <c r="R107" s="187" t="s">
        <v>387</v>
      </c>
      <c r="S107" s="171">
        <f t="shared" ref="S107:T107" si="168">SUM(S108:S109)</f>
        <v>0</v>
      </c>
      <c r="T107" s="173">
        <f t="shared" si="168"/>
        <v>643.29999999999995</v>
      </c>
      <c r="U107" s="174"/>
    </row>
    <row r="108" spans="1:21" ht="35.25" hidden="1" customHeight="1" outlineLevel="1" x14ac:dyDescent="0.2">
      <c r="A108" s="81"/>
      <c r="B108" s="181" t="s">
        <v>125</v>
      </c>
      <c r="C108" s="182" t="s">
        <v>21</v>
      </c>
      <c r="D108" s="182" t="s">
        <v>1</v>
      </c>
      <c r="E108" s="182" t="s">
        <v>8</v>
      </c>
      <c r="F108" s="183">
        <v>687.5</v>
      </c>
      <c r="G108" s="183"/>
      <c r="H108" s="183">
        <f>SUM(F108:G108)</f>
        <v>687.5</v>
      </c>
      <c r="I108" s="183"/>
      <c r="J108" s="183"/>
      <c r="K108" s="183">
        <f t="shared" ref="K108:K109" si="169">SUM(H108,J108)</f>
        <v>687.5</v>
      </c>
      <c r="L108" s="184"/>
      <c r="M108" s="183"/>
      <c r="N108" s="183">
        <f t="shared" ref="N108:N109" si="170">SUM(K108,M108)</f>
        <v>687.5</v>
      </c>
      <c r="O108" s="184"/>
      <c r="P108" s="183">
        <v>-44.2</v>
      </c>
      <c r="Q108" s="183">
        <f t="shared" ref="Q108:Q109" si="171">SUM(N108,P108)</f>
        <v>643.29999999999995</v>
      </c>
      <c r="R108" s="184" t="s">
        <v>387</v>
      </c>
      <c r="S108" s="183"/>
      <c r="T108" s="185">
        <f t="shared" ref="T108:T109" si="172">SUM(Q108,S108)</f>
        <v>643.29999999999995</v>
      </c>
      <c r="U108" s="186"/>
    </row>
    <row r="109" spans="1:21" ht="52.5" hidden="1" customHeight="1" outlineLevel="1" x14ac:dyDescent="0.2">
      <c r="A109" s="81"/>
      <c r="B109" s="181" t="s">
        <v>126</v>
      </c>
      <c r="C109" s="182" t="s">
        <v>21</v>
      </c>
      <c r="D109" s="182" t="s">
        <v>1</v>
      </c>
      <c r="E109" s="182" t="s">
        <v>7</v>
      </c>
      <c r="F109" s="183">
        <v>0</v>
      </c>
      <c r="G109" s="183"/>
      <c r="H109" s="183">
        <f>SUM(F109:G109)</f>
        <v>0</v>
      </c>
      <c r="I109" s="183"/>
      <c r="J109" s="183"/>
      <c r="K109" s="183">
        <f t="shared" si="169"/>
        <v>0</v>
      </c>
      <c r="L109" s="184"/>
      <c r="M109" s="183"/>
      <c r="N109" s="183">
        <f t="shared" si="170"/>
        <v>0</v>
      </c>
      <c r="O109" s="184"/>
      <c r="P109" s="183"/>
      <c r="Q109" s="183">
        <f t="shared" si="171"/>
        <v>0</v>
      </c>
      <c r="R109" s="184"/>
      <c r="S109" s="183"/>
      <c r="T109" s="185">
        <f t="shared" si="172"/>
        <v>0</v>
      </c>
      <c r="U109" s="186"/>
    </row>
    <row r="110" spans="1:21" s="77" customFormat="1" ht="82.5" customHeight="1" collapsed="1" x14ac:dyDescent="0.25">
      <c r="A110" s="75"/>
      <c r="B110" s="169" t="s">
        <v>127</v>
      </c>
      <c r="C110" s="170" t="s">
        <v>20</v>
      </c>
      <c r="D110" s="170" t="s">
        <v>3</v>
      </c>
      <c r="E110" s="170" t="s">
        <v>3</v>
      </c>
      <c r="F110" s="171">
        <f>SUM(F111,F116)</f>
        <v>567.20000000000005</v>
      </c>
      <c r="G110" s="171">
        <f t="shared" ref="G110:H110" si="173">SUM(G111,G116)</f>
        <v>0</v>
      </c>
      <c r="H110" s="171">
        <f t="shared" si="173"/>
        <v>567.20000000000005</v>
      </c>
      <c r="I110" s="171"/>
      <c r="J110" s="171">
        <f t="shared" ref="J110:K110" si="174">SUM(J111,J116)</f>
        <v>2496</v>
      </c>
      <c r="K110" s="171">
        <f t="shared" si="174"/>
        <v>3063.2</v>
      </c>
      <c r="L110" s="172"/>
      <c r="M110" s="171">
        <f t="shared" ref="M110:N110" si="175">SUM(M111,M116)</f>
        <v>0</v>
      </c>
      <c r="N110" s="171">
        <f t="shared" si="175"/>
        <v>3063.2</v>
      </c>
      <c r="O110" s="172"/>
      <c r="P110" s="171">
        <f t="shared" ref="P110:Q110" si="176">SUM(P111,P116)</f>
        <v>-711.69999999999993</v>
      </c>
      <c r="Q110" s="171">
        <f t="shared" si="176"/>
        <v>2351.5000000000005</v>
      </c>
      <c r="R110" s="172"/>
      <c r="S110" s="171">
        <f t="shared" ref="S110:T110" si="177">SUM(S111,S116)</f>
        <v>-1747.2</v>
      </c>
      <c r="T110" s="173">
        <f t="shared" si="177"/>
        <v>604.30000000000018</v>
      </c>
      <c r="U110" s="174"/>
    </row>
    <row r="111" spans="1:21" s="80" customFormat="1" ht="85.5" customHeight="1" x14ac:dyDescent="0.2">
      <c r="A111" s="78"/>
      <c r="B111" s="175" t="s">
        <v>128</v>
      </c>
      <c r="C111" s="176" t="s">
        <v>20</v>
      </c>
      <c r="D111" s="176" t="s">
        <v>12</v>
      </c>
      <c r="E111" s="176" t="s">
        <v>3</v>
      </c>
      <c r="F111" s="177">
        <f>SUM(F112:F115)</f>
        <v>417.2</v>
      </c>
      <c r="G111" s="177">
        <f t="shared" ref="G111:H111" si="178">SUM(G112:G115)</f>
        <v>0</v>
      </c>
      <c r="H111" s="177">
        <f t="shared" si="178"/>
        <v>417.2</v>
      </c>
      <c r="I111" s="177"/>
      <c r="J111" s="177">
        <f t="shared" ref="J111:K111" si="179">SUM(J112:J115)</f>
        <v>2496</v>
      </c>
      <c r="K111" s="177">
        <f t="shared" si="179"/>
        <v>2913.2</v>
      </c>
      <c r="L111" s="178" t="s">
        <v>242</v>
      </c>
      <c r="M111" s="177">
        <f t="shared" ref="M111:N111" si="180">SUM(M112:M115)</f>
        <v>0</v>
      </c>
      <c r="N111" s="177">
        <f t="shared" si="180"/>
        <v>2913.2</v>
      </c>
      <c r="O111" s="178"/>
      <c r="P111" s="177">
        <f t="shared" ref="P111:Q111" si="181">SUM(P112:P115)</f>
        <v>-711.69999999999993</v>
      </c>
      <c r="Q111" s="177">
        <f t="shared" si="181"/>
        <v>2201.5000000000005</v>
      </c>
      <c r="R111" s="178" t="s">
        <v>388</v>
      </c>
      <c r="S111" s="177">
        <f t="shared" ref="S111:T111" si="182">SUM(S112:S115)</f>
        <v>-1747.2</v>
      </c>
      <c r="T111" s="179">
        <f t="shared" si="182"/>
        <v>454.30000000000018</v>
      </c>
      <c r="U111" s="180" t="s">
        <v>425</v>
      </c>
    </row>
    <row r="112" spans="1:21" ht="22.5" hidden="1" customHeight="1" outlineLevel="1" x14ac:dyDescent="0.2">
      <c r="A112" s="81"/>
      <c r="B112" s="181" t="s">
        <v>129</v>
      </c>
      <c r="C112" s="182" t="s">
        <v>20</v>
      </c>
      <c r="D112" s="182" t="s">
        <v>12</v>
      </c>
      <c r="E112" s="182" t="s">
        <v>8</v>
      </c>
      <c r="F112" s="183">
        <v>67.2</v>
      </c>
      <c r="G112" s="183"/>
      <c r="H112" s="183">
        <f>SUM(F112:G112)</f>
        <v>67.2</v>
      </c>
      <c r="I112" s="183"/>
      <c r="J112" s="183"/>
      <c r="K112" s="183">
        <f t="shared" ref="K112:K115" si="183">SUM(H112,J112)</f>
        <v>67.2</v>
      </c>
      <c r="L112" s="184"/>
      <c r="M112" s="183"/>
      <c r="N112" s="183">
        <f t="shared" ref="N112:N115" si="184">SUM(K112,M112)</f>
        <v>67.2</v>
      </c>
      <c r="O112" s="184"/>
      <c r="P112" s="183"/>
      <c r="Q112" s="183">
        <f t="shared" ref="Q112:Q115" si="185">SUM(N112,P112)</f>
        <v>67.2</v>
      </c>
      <c r="R112" s="184"/>
      <c r="S112" s="183"/>
      <c r="T112" s="185">
        <f t="shared" ref="T112:T115" si="186">SUM(Q112,S112)</f>
        <v>67.2</v>
      </c>
      <c r="U112" s="186"/>
    </row>
    <row r="113" spans="1:22" ht="74.25" hidden="1" customHeight="1" outlineLevel="1" x14ac:dyDescent="0.2">
      <c r="A113" s="81"/>
      <c r="B113" s="181" t="s">
        <v>130</v>
      </c>
      <c r="C113" s="182" t="s">
        <v>20</v>
      </c>
      <c r="D113" s="182" t="s">
        <v>12</v>
      </c>
      <c r="E113" s="182" t="s">
        <v>7</v>
      </c>
      <c r="F113" s="183">
        <v>200</v>
      </c>
      <c r="G113" s="183">
        <f>-54</f>
        <v>-54</v>
      </c>
      <c r="H113" s="183">
        <f t="shared" ref="H113:H115" si="187">SUM(F113:G113)</f>
        <v>146</v>
      </c>
      <c r="I113" s="184" t="s">
        <v>182</v>
      </c>
      <c r="J113" s="183">
        <f>748.8+1747.2</f>
        <v>2496</v>
      </c>
      <c r="K113" s="183">
        <f t="shared" si="183"/>
        <v>2642</v>
      </c>
      <c r="L113" s="184" t="s">
        <v>224</v>
      </c>
      <c r="M113" s="183">
        <v>-18.5</v>
      </c>
      <c r="N113" s="183">
        <f t="shared" si="184"/>
        <v>2623.5</v>
      </c>
      <c r="O113" s="184" t="s">
        <v>262</v>
      </c>
      <c r="P113" s="183">
        <f>37.1-748.8</f>
        <v>-711.69999999999993</v>
      </c>
      <c r="Q113" s="183">
        <f>SUM(N113,P113)+48.9</f>
        <v>1960.7000000000003</v>
      </c>
      <c r="R113" s="184" t="s">
        <v>388</v>
      </c>
      <c r="S113" s="183">
        <f>-1747.2</f>
        <v>-1747.2</v>
      </c>
      <c r="T113" s="185">
        <f t="shared" si="186"/>
        <v>213.50000000000023</v>
      </c>
      <c r="U113" s="186" t="s">
        <v>425</v>
      </c>
    </row>
    <row r="114" spans="1:22" ht="34.5" hidden="1" customHeight="1" outlineLevel="1" x14ac:dyDescent="0.2">
      <c r="A114" s="81"/>
      <c r="B114" s="181" t="s">
        <v>131</v>
      </c>
      <c r="C114" s="182" t="s">
        <v>20</v>
      </c>
      <c r="D114" s="182" t="s">
        <v>12</v>
      </c>
      <c r="E114" s="182" t="s">
        <v>13</v>
      </c>
      <c r="F114" s="183">
        <v>100</v>
      </c>
      <c r="G114" s="183">
        <f>54</f>
        <v>54</v>
      </c>
      <c r="H114" s="183">
        <f t="shared" si="187"/>
        <v>154</v>
      </c>
      <c r="I114" s="184" t="s">
        <v>181</v>
      </c>
      <c r="J114" s="183"/>
      <c r="K114" s="183">
        <f t="shared" si="183"/>
        <v>154</v>
      </c>
      <c r="L114" s="184"/>
      <c r="M114" s="183">
        <v>18.5</v>
      </c>
      <c r="N114" s="183">
        <f t="shared" si="184"/>
        <v>172.5</v>
      </c>
      <c r="O114" s="184" t="s">
        <v>263</v>
      </c>
      <c r="P114" s="183"/>
      <c r="Q114" s="183">
        <f>SUM(N114,P114)-48.9</f>
        <v>123.6</v>
      </c>
      <c r="R114" s="184"/>
      <c r="S114" s="183"/>
      <c r="T114" s="185">
        <f t="shared" si="186"/>
        <v>123.6</v>
      </c>
      <c r="U114" s="186"/>
    </row>
    <row r="115" spans="1:22" ht="21.75" hidden="1" customHeight="1" outlineLevel="1" x14ac:dyDescent="0.2">
      <c r="A115" s="81"/>
      <c r="B115" s="181" t="s">
        <v>132</v>
      </c>
      <c r="C115" s="182" t="s">
        <v>20</v>
      </c>
      <c r="D115" s="182" t="s">
        <v>12</v>
      </c>
      <c r="E115" s="182" t="s">
        <v>6</v>
      </c>
      <c r="F115" s="183">
        <v>50</v>
      </c>
      <c r="G115" s="183"/>
      <c r="H115" s="183">
        <f t="shared" si="187"/>
        <v>50</v>
      </c>
      <c r="I115" s="183"/>
      <c r="J115" s="183"/>
      <c r="K115" s="183">
        <f t="shared" si="183"/>
        <v>50</v>
      </c>
      <c r="L115" s="184"/>
      <c r="M115" s="183"/>
      <c r="N115" s="183">
        <f t="shared" si="184"/>
        <v>50</v>
      </c>
      <c r="O115" s="184"/>
      <c r="P115" s="183"/>
      <c r="Q115" s="183">
        <f t="shared" si="185"/>
        <v>50</v>
      </c>
      <c r="R115" s="184"/>
      <c r="S115" s="183"/>
      <c r="T115" s="185">
        <f t="shared" si="186"/>
        <v>50</v>
      </c>
      <c r="U115" s="186"/>
    </row>
    <row r="116" spans="1:22" s="80" customFormat="1" ht="36" customHeight="1" collapsed="1" x14ac:dyDescent="0.2">
      <c r="A116" s="78"/>
      <c r="B116" s="175" t="s">
        <v>133</v>
      </c>
      <c r="C116" s="176" t="s">
        <v>20</v>
      </c>
      <c r="D116" s="176" t="s">
        <v>10</v>
      </c>
      <c r="E116" s="176" t="s">
        <v>3</v>
      </c>
      <c r="F116" s="177">
        <f>SUM(F117)</f>
        <v>150</v>
      </c>
      <c r="G116" s="177">
        <f t="shared" ref="G116:T116" si="188">SUM(G117)</f>
        <v>0</v>
      </c>
      <c r="H116" s="177">
        <f t="shared" si="188"/>
        <v>150</v>
      </c>
      <c r="I116" s="177"/>
      <c r="J116" s="177">
        <f t="shared" si="188"/>
        <v>0</v>
      </c>
      <c r="K116" s="177">
        <f t="shared" si="188"/>
        <v>150</v>
      </c>
      <c r="L116" s="178"/>
      <c r="M116" s="177">
        <f t="shared" si="188"/>
        <v>0</v>
      </c>
      <c r="N116" s="177">
        <f t="shared" si="188"/>
        <v>150</v>
      </c>
      <c r="O116" s="178"/>
      <c r="P116" s="177">
        <f t="shared" si="188"/>
        <v>0</v>
      </c>
      <c r="Q116" s="177">
        <f t="shared" si="188"/>
        <v>150</v>
      </c>
      <c r="R116" s="178"/>
      <c r="S116" s="177">
        <f t="shared" si="188"/>
        <v>0</v>
      </c>
      <c r="T116" s="179">
        <f t="shared" si="188"/>
        <v>150</v>
      </c>
      <c r="U116" s="180"/>
    </row>
    <row r="117" spans="1:22" ht="12.75" hidden="1" customHeight="1" outlineLevel="1" x14ac:dyDescent="0.2">
      <c r="A117" s="81"/>
      <c r="B117" s="181" t="s">
        <v>134</v>
      </c>
      <c r="C117" s="182" t="s">
        <v>20</v>
      </c>
      <c r="D117" s="182" t="s">
        <v>10</v>
      </c>
      <c r="E117" s="182" t="s">
        <v>8</v>
      </c>
      <c r="F117" s="183">
        <v>150</v>
      </c>
      <c r="G117" s="183"/>
      <c r="H117" s="183">
        <f>SUM(F117:G117)</f>
        <v>150</v>
      </c>
      <c r="I117" s="183"/>
      <c r="J117" s="183"/>
      <c r="K117" s="183">
        <f>SUM(H117,J117)</f>
        <v>150</v>
      </c>
      <c r="L117" s="184"/>
      <c r="M117" s="183"/>
      <c r="N117" s="183">
        <f>SUM(K117,M117)</f>
        <v>150</v>
      </c>
      <c r="O117" s="184"/>
      <c r="P117" s="183"/>
      <c r="Q117" s="183">
        <f>SUM(N117,P117)</f>
        <v>150</v>
      </c>
      <c r="R117" s="184"/>
      <c r="S117" s="183"/>
      <c r="T117" s="185">
        <f>SUM(Q117,S117)</f>
        <v>150</v>
      </c>
      <c r="U117" s="186"/>
    </row>
    <row r="118" spans="1:22" s="77" customFormat="1" ht="63" customHeight="1" collapsed="1" x14ac:dyDescent="0.25">
      <c r="A118" s="75"/>
      <c r="B118" s="169" t="s">
        <v>135</v>
      </c>
      <c r="C118" s="170" t="s">
        <v>19</v>
      </c>
      <c r="D118" s="170" t="s">
        <v>3</v>
      </c>
      <c r="E118" s="170" t="s">
        <v>3</v>
      </c>
      <c r="F118" s="171">
        <f>SUM(F119,F121)</f>
        <v>350</v>
      </c>
      <c r="G118" s="171">
        <f t="shared" ref="G118:H118" si="189">SUM(G119,G121)</f>
        <v>0</v>
      </c>
      <c r="H118" s="171">
        <f t="shared" si="189"/>
        <v>350</v>
      </c>
      <c r="I118" s="171"/>
      <c r="J118" s="171">
        <f t="shared" ref="J118:K118" si="190">SUM(J119,J121)</f>
        <v>0</v>
      </c>
      <c r="K118" s="171">
        <f t="shared" si="190"/>
        <v>350</v>
      </c>
      <c r="L118" s="172"/>
      <c r="M118" s="171">
        <f t="shared" ref="M118:N118" si="191">SUM(M119,M121)</f>
        <v>0</v>
      </c>
      <c r="N118" s="171">
        <f t="shared" si="191"/>
        <v>350</v>
      </c>
      <c r="O118" s="172"/>
      <c r="P118" s="171">
        <f t="shared" ref="P118:Q118" si="192">SUM(P119,P121)</f>
        <v>0</v>
      </c>
      <c r="Q118" s="171">
        <f t="shared" si="192"/>
        <v>350</v>
      </c>
      <c r="R118" s="172"/>
      <c r="S118" s="171">
        <f t="shared" ref="S118:T118" si="193">SUM(S119,S121)</f>
        <v>0</v>
      </c>
      <c r="T118" s="173">
        <f t="shared" si="193"/>
        <v>350</v>
      </c>
      <c r="U118" s="174"/>
    </row>
    <row r="119" spans="1:22" s="80" customFormat="1" ht="105" customHeight="1" x14ac:dyDescent="0.2">
      <c r="A119" s="78"/>
      <c r="B119" s="175" t="s">
        <v>136</v>
      </c>
      <c r="C119" s="176" t="s">
        <v>19</v>
      </c>
      <c r="D119" s="176" t="s">
        <v>12</v>
      </c>
      <c r="E119" s="176" t="s">
        <v>3</v>
      </c>
      <c r="F119" s="177">
        <f>SUM(F120)</f>
        <v>150</v>
      </c>
      <c r="G119" s="177">
        <f t="shared" ref="G119:T119" si="194">SUM(G120)</f>
        <v>0</v>
      </c>
      <c r="H119" s="177">
        <f t="shared" si="194"/>
        <v>150</v>
      </c>
      <c r="I119" s="177"/>
      <c r="J119" s="177">
        <f t="shared" si="194"/>
        <v>0</v>
      </c>
      <c r="K119" s="177">
        <f t="shared" si="194"/>
        <v>150</v>
      </c>
      <c r="L119" s="178"/>
      <c r="M119" s="177">
        <f t="shared" si="194"/>
        <v>0</v>
      </c>
      <c r="N119" s="177">
        <f t="shared" si="194"/>
        <v>150</v>
      </c>
      <c r="O119" s="178"/>
      <c r="P119" s="177">
        <f t="shared" si="194"/>
        <v>0</v>
      </c>
      <c r="Q119" s="177">
        <f t="shared" si="194"/>
        <v>150</v>
      </c>
      <c r="R119" s="178"/>
      <c r="S119" s="177">
        <f t="shared" si="194"/>
        <v>0</v>
      </c>
      <c r="T119" s="179">
        <f t="shared" si="194"/>
        <v>150</v>
      </c>
      <c r="U119" s="180"/>
    </row>
    <row r="120" spans="1:22" ht="43.5" hidden="1" customHeight="1" outlineLevel="1" x14ac:dyDescent="0.2">
      <c r="A120" s="81"/>
      <c r="B120" s="181" t="s">
        <v>137</v>
      </c>
      <c r="C120" s="182" t="s">
        <v>19</v>
      </c>
      <c r="D120" s="182" t="s">
        <v>12</v>
      </c>
      <c r="E120" s="182" t="s">
        <v>8</v>
      </c>
      <c r="F120" s="183">
        <v>150</v>
      </c>
      <c r="G120" s="183"/>
      <c r="H120" s="183">
        <f>SUM(F120:G120)</f>
        <v>150</v>
      </c>
      <c r="I120" s="183"/>
      <c r="J120" s="183"/>
      <c r="K120" s="183">
        <f>SUM(H120,J120)</f>
        <v>150</v>
      </c>
      <c r="L120" s="184"/>
      <c r="M120" s="183"/>
      <c r="N120" s="183">
        <f>SUM(K120,M120)</f>
        <v>150</v>
      </c>
      <c r="O120" s="184"/>
      <c r="P120" s="183"/>
      <c r="Q120" s="183">
        <f>SUM(N120,P120)</f>
        <v>150</v>
      </c>
      <c r="R120" s="184"/>
      <c r="S120" s="183"/>
      <c r="T120" s="185">
        <f>SUM(Q120,S120)</f>
        <v>150</v>
      </c>
      <c r="U120" s="186"/>
    </row>
    <row r="121" spans="1:22" s="80" customFormat="1" ht="51" customHeight="1" collapsed="1" x14ac:dyDescent="0.2">
      <c r="A121" s="78"/>
      <c r="B121" s="175" t="s">
        <v>138</v>
      </c>
      <c r="C121" s="176" t="s">
        <v>19</v>
      </c>
      <c r="D121" s="176" t="s">
        <v>10</v>
      </c>
      <c r="E121" s="176" t="s">
        <v>3</v>
      </c>
      <c r="F121" s="177">
        <f>SUM(F122)</f>
        <v>200</v>
      </c>
      <c r="G121" s="177">
        <f t="shared" ref="G121:T121" si="195">SUM(G122)</f>
        <v>0</v>
      </c>
      <c r="H121" s="177">
        <f t="shared" si="195"/>
        <v>200</v>
      </c>
      <c r="I121" s="177"/>
      <c r="J121" s="177">
        <f t="shared" si="195"/>
        <v>0</v>
      </c>
      <c r="K121" s="177">
        <f t="shared" si="195"/>
        <v>200</v>
      </c>
      <c r="L121" s="178"/>
      <c r="M121" s="177">
        <f t="shared" si="195"/>
        <v>0</v>
      </c>
      <c r="N121" s="177">
        <f t="shared" si="195"/>
        <v>200</v>
      </c>
      <c r="O121" s="178"/>
      <c r="P121" s="177">
        <f t="shared" si="195"/>
        <v>0</v>
      </c>
      <c r="Q121" s="177">
        <f t="shared" si="195"/>
        <v>200</v>
      </c>
      <c r="R121" s="178"/>
      <c r="S121" s="177">
        <f t="shared" si="195"/>
        <v>0</v>
      </c>
      <c r="T121" s="179">
        <f t="shared" si="195"/>
        <v>200</v>
      </c>
      <c r="U121" s="180"/>
    </row>
    <row r="122" spans="1:22" ht="36" hidden="1" customHeight="1" outlineLevel="1" x14ac:dyDescent="0.2">
      <c r="A122" s="81"/>
      <c r="B122" s="181" t="s">
        <v>139</v>
      </c>
      <c r="C122" s="182" t="s">
        <v>19</v>
      </c>
      <c r="D122" s="182" t="s">
        <v>10</v>
      </c>
      <c r="E122" s="182" t="s">
        <v>8</v>
      </c>
      <c r="F122" s="183">
        <v>200</v>
      </c>
      <c r="G122" s="183"/>
      <c r="H122" s="183">
        <f>SUM(F122:G122)</f>
        <v>200</v>
      </c>
      <c r="I122" s="183"/>
      <c r="J122" s="183"/>
      <c r="K122" s="183">
        <f>SUM(H122,J122)</f>
        <v>200</v>
      </c>
      <c r="L122" s="184"/>
      <c r="M122" s="183"/>
      <c r="N122" s="183">
        <f>SUM(K122,M122)</f>
        <v>200</v>
      </c>
      <c r="O122" s="184"/>
      <c r="P122" s="183"/>
      <c r="Q122" s="183">
        <f>SUM(N122,P122)</f>
        <v>200</v>
      </c>
      <c r="R122" s="184"/>
      <c r="S122" s="183"/>
      <c r="T122" s="185">
        <f>SUM(Q122,S122)</f>
        <v>200</v>
      </c>
      <c r="U122" s="186"/>
    </row>
    <row r="123" spans="1:22" s="77" customFormat="1" ht="48.75" customHeight="1" collapsed="1" x14ac:dyDescent="0.25">
      <c r="A123" s="75"/>
      <c r="B123" s="169" t="s">
        <v>140</v>
      </c>
      <c r="C123" s="170" t="s">
        <v>18</v>
      </c>
      <c r="D123" s="170" t="s">
        <v>3</v>
      </c>
      <c r="E123" s="170" t="s">
        <v>3</v>
      </c>
      <c r="F123" s="171">
        <f>SUM(F124,F132,F135,F139)</f>
        <v>2292318.2000000002</v>
      </c>
      <c r="G123" s="171">
        <f>SUM(G124,G132,G135,G139)</f>
        <v>447.2</v>
      </c>
      <c r="H123" s="171">
        <f>SUM(H124,H132,H135,H139)</f>
        <v>2292765.4</v>
      </c>
      <c r="I123" s="171"/>
      <c r="J123" s="171">
        <f>SUM(J124,J132,J135,J139)</f>
        <v>41194.199999999997</v>
      </c>
      <c r="K123" s="171">
        <f>SUM(K124,K132,K135,K139)</f>
        <v>2333959.6</v>
      </c>
      <c r="L123" s="172"/>
      <c r="M123" s="171">
        <f>SUM(M124,M132,M135,M139)</f>
        <v>1122.3999999999999</v>
      </c>
      <c r="N123" s="171">
        <f>SUM(N124,N132,N135,N139)</f>
        <v>2335082</v>
      </c>
      <c r="O123" s="172"/>
      <c r="P123" s="171">
        <f>SUM(P124,P132,P135,P139)</f>
        <v>39544.800000000003</v>
      </c>
      <c r="Q123" s="171">
        <f>SUM(Q124,Q132,Q135,Q139)</f>
        <v>2374626.7999999998</v>
      </c>
      <c r="R123" s="172"/>
      <c r="S123" s="171">
        <f>SUM(S124,S132,S135,S139)</f>
        <v>-29283.600000000002</v>
      </c>
      <c r="T123" s="173">
        <f>SUM(T124,T132,T135,T139)</f>
        <v>2345343.2000000002</v>
      </c>
      <c r="U123" s="174"/>
    </row>
    <row r="124" spans="1:22" s="80" customFormat="1" ht="409.6" customHeight="1" x14ac:dyDescent="0.2">
      <c r="A124" s="78"/>
      <c r="B124" s="209" t="s">
        <v>141</v>
      </c>
      <c r="C124" s="210" t="s">
        <v>18</v>
      </c>
      <c r="D124" s="210" t="s">
        <v>12</v>
      </c>
      <c r="E124" s="210" t="s">
        <v>3</v>
      </c>
      <c r="F124" s="177">
        <f>SUM(F125:F131)</f>
        <v>2157822.1</v>
      </c>
      <c r="G124" s="177">
        <f t="shared" ref="G124:H124" si="196">SUM(G125:G131)</f>
        <v>447.2</v>
      </c>
      <c r="H124" s="177">
        <f t="shared" si="196"/>
        <v>2158269.2999999998</v>
      </c>
      <c r="I124" s="211" t="s">
        <v>188</v>
      </c>
      <c r="J124" s="177">
        <f t="shared" ref="J124:K124" si="197">SUM(J125:J131)</f>
        <v>23263.599999999999</v>
      </c>
      <c r="K124" s="177">
        <f t="shared" si="197"/>
        <v>2181532.9</v>
      </c>
      <c r="L124" s="211" t="s">
        <v>209</v>
      </c>
      <c r="M124" s="177">
        <f t="shared" ref="M124:N124" si="198">SUM(M125:M131)</f>
        <v>132.69999999999982</v>
      </c>
      <c r="N124" s="177">
        <f t="shared" si="198"/>
        <v>2181665.6</v>
      </c>
      <c r="O124" s="211" t="s">
        <v>315</v>
      </c>
      <c r="P124" s="177">
        <f>SUM(P125:P131)</f>
        <v>3712.8</v>
      </c>
      <c r="Q124" s="212">
        <f t="shared" ref="Q124" si="199">SUM(Q125:Q131)</f>
        <v>2185378.4</v>
      </c>
      <c r="R124" s="211" t="s">
        <v>494</v>
      </c>
      <c r="S124" s="212">
        <f>SUM(S125:S131)</f>
        <v>-29093.7</v>
      </c>
      <c r="T124" s="212">
        <f t="shared" ref="T124" si="200">SUM(T125:T131)</f>
        <v>2156284.7000000002</v>
      </c>
      <c r="U124" s="213" t="s">
        <v>481</v>
      </c>
    </row>
    <row r="125" spans="1:22" ht="46.5" hidden="1" customHeight="1" outlineLevel="1" x14ac:dyDescent="0.2">
      <c r="A125" s="81"/>
      <c r="B125" s="181" t="s">
        <v>142</v>
      </c>
      <c r="C125" s="182" t="s">
        <v>18</v>
      </c>
      <c r="D125" s="182" t="s">
        <v>12</v>
      </c>
      <c r="E125" s="182" t="s">
        <v>8</v>
      </c>
      <c r="F125" s="183">
        <v>32139.200000000001</v>
      </c>
      <c r="G125" s="183"/>
      <c r="H125" s="183">
        <f>SUM(F125:G125)</f>
        <v>32139.200000000001</v>
      </c>
      <c r="I125" s="183"/>
      <c r="J125" s="183"/>
      <c r="K125" s="183">
        <f t="shared" ref="K125:K131" si="201">SUM(H125,J125)</f>
        <v>32139.200000000001</v>
      </c>
      <c r="L125" s="184"/>
      <c r="M125" s="183">
        <v>6.3</v>
      </c>
      <c r="N125" s="183">
        <f t="shared" ref="N125:N131" si="202">SUM(K125,M125)</f>
        <v>32145.5</v>
      </c>
      <c r="O125" s="208" t="s">
        <v>270</v>
      </c>
      <c r="P125" s="183">
        <v>275.2</v>
      </c>
      <c r="Q125" s="183">
        <f t="shared" ref="Q125:Q131" si="203">SUM(N125,P125)</f>
        <v>32420.7</v>
      </c>
      <c r="R125" s="208" t="s">
        <v>351</v>
      </c>
      <c r="S125" s="183">
        <v>-304.2</v>
      </c>
      <c r="T125" s="185">
        <f t="shared" ref="T125:T131" si="204">SUM(Q125,S125)</f>
        <v>32116.5</v>
      </c>
      <c r="U125" s="186" t="s">
        <v>427</v>
      </c>
      <c r="V125" s="62" t="s">
        <v>460</v>
      </c>
    </row>
    <row r="126" spans="1:22" ht="163.5" hidden="1" customHeight="1" outlineLevel="1" x14ac:dyDescent="0.2">
      <c r="A126" s="81"/>
      <c r="B126" s="181" t="s">
        <v>143</v>
      </c>
      <c r="C126" s="182" t="s">
        <v>18</v>
      </c>
      <c r="D126" s="182" t="s">
        <v>12</v>
      </c>
      <c r="E126" s="182" t="s">
        <v>7</v>
      </c>
      <c r="F126" s="183">
        <v>1964776</v>
      </c>
      <c r="G126" s="183">
        <f>447.2</f>
        <v>447.2</v>
      </c>
      <c r="H126" s="183">
        <f t="shared" ref="H126:H131" si="205">SUM(F126:G126)</f>
        <v>1965223.2</v>
      </c>
      <c r="I126" s="184" t="s">
        <v>188</v>
      </c>
      <c r="J126" s="183">
        <v>23263.599999999999</v>
      </c>
      <c r="K126" s="183">
        <f t="shared" si="201"/>
        <v>1988486.8</v>
      </c>
      <c r="L126" s="184" t="s">
        <v>209</v>
      </c>
      <c r="M126" s="183">
        <f>204-3599-77.6+350+3896.2</f>
        <v>773.59999999999991</v>
      </c>
      <c r="N126" s="183">
        <f t="shared" si="202"/>
        <v>1989260.4000000001</v>
      </c>
      <c r="O126" s="184" t="s">
        <v>314</v>
      </c>
      <c r="P126" s="183">
        <f>5119.1+2475.2+1601.5+1000-133.4+248.8</f>
        <v>10311.199999999999</v>
      </c>
      <c r="Q126" s="183">
        <f t="shared" si="203"/>
        <v>1999571.6</v>
      </c>
      <c r="R126" s="214" t="s">
        <v>495</v>
      </c>
      <c r="S126" s="183">
        <f>-18325.1-61.2-2138.2</f>
        <v>-20524.5</v>
      </c>
      <c r="T126" s="185">
        <f t="shared" si="204"/>
        <v>1979047.1</v>
      </c>
      <c r="U126" s="186" t="s">
        <v>461</v>
      </c>
    </row>
    <row r="127" spans="1:22" ht="58.5" hidden="1" customHeight="1" outlineLevel="1" x14ac:dyDescent="0.2">
      <c r="A127" s="81"/>
      <c r="B127" s="181" t="s">
        <v>144</v>
      </c>
      <c r="C127" s="182" t="s">
        <v>18</v>
      </c>
      <c r="D127" s="182" t="s">
        <v>12</v>
      </c>
      <c r="E127" s="182" t="s">
        <v>13</v>
      </c>
      <c r="F127" s="183">
        <v>38949</v>
      </c>
      <c r="G127" s="183"/>
      <c r="H127" s="183">
        <f t="shared" si="205"/>
        <v>38949</v>
      </c>
      <c r="I127" s="183"/>
      <c r="J127" s="183"/>
      <c r="K127" s="183">
        <f t="shared" si="201"/>
        <v>38949</v>
      </c>
      <c r="L127" s="184"/>
      <c r="M127" s="183"/>
      <c r="N127" s="183">
        <f t="shared" si="202"/>
        <v>38949</v>
      </c>
      <c r="O127" s="184"/>
      <c r="P127" s="183">
        <v>-685.3</v>
      </c>
      <c r="Q127" s="183">
        <f t="shared" si="203"/>
        <v>38263.699999999997</v>
      </c>
      <c r="R127" s="184" t="s">
        <v>341</v>
      </c>
      <c r="S127" s="183">
        <f>-2508.5</f>
        <v>-2508.5</v>
      </c>
      <c r="T127" s="185">
        <f t="shared" si="204"/>
        <v>35755.199999999997</v>
      </c>
      <c r="U127" s="186" t="s">
        <v>457</v>
      </c>
      <c r="V127" s="62" t="s">
        <v>460</v>
      </c>
    </row>
    <row r="128" spans="1:22" ht="139.5" hidden="1" customHeight="1" outlineLevel="1" x14ac:dyDescent="0.2">
      <c r="A128" s="81"/>
      <c r="B128" s="181" t="s">
        <v>145</v>
      </c>
      <c r="C128" s="182" t="s">
        <v>18</v>
      </c>
      <c r="D128" s="182" t="s">
        <v>12</v>
      </c>
      <c r="E128" s="182" t="s">
        <v>6</v>
      </c>
      <c r="F128" s="183">
        <v>9109.2000000000007</v>
      </c>
      <c r="G128" s="183"/>
      <c r="H128" s="183">
        <f t="shared" si="205"/>
        <v>9109.2000000000007</v>
      </c>
      <c r="I128" s="183"/>
      <c r="J128" s="183"/>
      <c r="K128" s="183">
        <f t="shared" si="201"/>
        <v>9109.2000000000007</v>
      </c>
      <c r="L128" s="184"/>
      <c r="M128" s="183">
        <v>3599</v>
      </c>
      <c r="N128" s="183">
        <f t="shared" si="202"/>
        <v>12708.2</v>
      </c>
      <c r="O128" s="184"/>
      <c r="P128" s="183">
        <v>224</v>
      </c>
      <c r="Q128" s="183">
        <f t="shared" si="203"/>
        <v>12932.2</v>
      </c>
      <c r="R128" s="184" t="s">
        <v>340</v>
      </c>
      <c r="S128" s="183">
        <f>-800-599.8</f>
        <v>-1399.8</v>
      </c>
      <c r="T128" s="185">
        <f t="shared" si="204"/>
        <v>11532.400000000001</v>
      </c>
      <c r="U128" s="186" t="s">
        <v>458</v>
      </c>
      <c r="V128" s="62" t="s">
        <v>460</v>
      </c>
    </row>
    <row r="129" spans="1:22" ht="38.25" hidden="1" customHeight="1" outlineLevel="1" x14ac:dyDescent="0.2">
      <c r="A129" s="81"/>
      <c r="B129" s="181" t="s">
        <v>146</v>
      </c>
      <c r="C129" s="182" t="s">
        <v>18</v>
      </c>
      <c r="D129" s="182" t="s">
        <v>12</v>
      </c>
      <c r="E129" s="182" t="s">
        <v>5</v>
      </c>
      <c r="F129" s="183">
        <v>3900</v>
      </c>
      <c r="G129" s="183"/>
      <c r="H129" s="183">
        <f t="shared" si="205"/>
        <v>3900</v>
      </c>
      <c r="I129" s="183"/>
      <c r="J129" s="183"/>
      <c r="K129" s="183">
        <f t="shared" si="201"/>
        <v>3900</v>
      </c>
      <c r="L129" s="184"/>
      <c r="M129" s="183">
        <v>550</v>
      </c>
      <c r="N129" s="183">
        <f t="shared" si="202"/>
        <v>4450</v>
      </c>
      <c r="O129" s="184"/>
      <c r="P129" s="183">
        <v>638.1</v>
      </c>
      <c r="Q129" s="183">
        <f t="shared" si="203"/>
        <v>5088.1000000000004</v>
      </c>
      <c r="R129" s="215" t="s">
        <v>353</v>
      </c>
      <c r="S129" s="183">
        <f>408.7</f>
        <v>408.7</v>
      </c>
      <c r="T129" s="185">
        <f t="shared" si="204"/>
        <v>5496.8</v>
      </c>
      <c r="U129" s="186" t="s">
        <v>480</v>
      </c>
      <c r="V129" s="62" t="s">
        <v>460</v>
      </c>
    </row>
    <row r="130" spans="1:22" ht="21.75" hidden="1" customHeight="1" outlineLevel="1" x14ac:dyDescent="0.2">
      <c r="A130" s="81"/>
      <c r="B130" s="181" t="s">
        <v>147</v>
      </c>
      <c r="C130" s="182" t="s">
        <v>18</v>
      </c>
      <c r="D130" s="182" t="s">
        <v>12</v>
      </c>
      <c r="E130" s="182" t="s">
        <v>4</v>
      </c>
      <c r="F130" s="183">
        <v>9115.7999999999993</v>
      </c>
      <c r="G130" s="183"/>
      <c r="H130" s="183">
        <f t="shared" si="205"/>
        <v>9115.7999999999993</v>
      </c>
      <c r="I130" s="183"/>
      <c r="J130" s="183"/>
      <c r="K130" s="183">
        <f t="shared" si="201"/>
        <v>9115.7999999999993</v>
      </c>
      <c r="L130" s="184"/>
      <c r="M130" s="183"/>
      <c r="N130" s="183">
        <f t="shared" si="202"/>
        <v>9115.7999999999993</v>
      </c>
      <c r="O130" s="184"/>
      <c r="P130" s="183"/>
      <c r="Q130" s="183">
        <f t="shared" si="203"/>
        <v>9115.7999999999993</v>
      </c>
      <c r="R130" s="184"/>
      <c r="S130" s="183"/>
      <c r="T130" s="185">
        <f t="shared" si="204"/>
        <v>9115.7999999999993</v>
      </c>
      <c r="U130" s="186"/>
    </row>
    <row r="131" spans="1:22" ht="123" hidden="1" customHeight="1" outlineLevel="1" x14ac:dyDescent="0.2">
      <c r="A131" s="81"/>
      <c r="B131" s="181" t="s">
        <v>148</v>
      </c>
      <c r="C131" s="182" t="s">
        <v>18</v>
      </c>
      <c r="D131" s="182" t="s">
        <v>12</v>
      </c>
      <c r="E131" s="182" t="s">
        <v>0</v>
      </c>
      <c r="F131" s="183">
        <v>99832.9</v>
      </c>
      <c r="G131" s="183"/>
      <c r="H131" s="183">
        <f t="shared" si="205"/>
        <v>99832.9</v>
      </c>
      <c r="I131" s="183"/>
      <c r="J131" s="183"/>
      <c r="K131" s="183">
        <f t="shared" si="201"/>
        <v>99832.9</v>
      </c>
      <c r="L131" s="184"/>
      <c r="M131" s="183">
        <f>-900-3896.2</f>
        <v>-4796.2</v>
      </c>
      <c r="N131" s="183">
        <f t="shared" si="202"/>
        <v>95036.7</v>
      </c>
      <c r="O131" s="184"/>
      <c r="P131" s="183">
        <f>-1000-2475.2-3326.4-248.8</f>
        <v>-7050.4000000000005</v>
      </c>
      <c r="Q131" s="183">
        <f t="shared" si="203"/>
        <v>87986.3</v>
      </c>
      <c r="R131" s="184" t="s">
        <v>496</v>
      </c>
      <c r="S131" s="183">
        <f>-4011.3-5.5-748.6</f>
        <v>-4765.4000000000005</v>
      </c>
      <c r="T131" s="185">
        <f t="shared" si="204"/>
        <v>83220.900000000009</v>
      </c>
      <c r="U131" s="186" t="s">
        <v>459</v>
      </c>
      <c r="V131" s="62" t="s">
        <v>460</v>
      </c>
    </row>
    <row r="132" spans="1:22" s="80" customFormat="1" ht="66.75" customHeight="1" collapsed="1" x14ac:dyDescent="0.2">
      <c r="A132" s="78"/>
      <c r="B132" s="175" t="s">
        <v>149</v>
      </c>
      <c r="C132" s="176" t="s">
        <v>18</v>
      </c>
      <c r="D132" s="176" t="s">
        <v>10</v>
      </c>
      <c r="E132" s="176" t="s">
        <v>3</v>
      </c>
      <c r="F132" s="177">
        <f t="shared" ref="F132:P132" si="206">SUM(F133:F134)</f>
        <v>15800</v>
      </c>
      <c r="G132" s="177">
        <f t="shared" si="206"/>
        <v>0</v>
      </c>
      <c r="H132" s="177">
        <f t="shared" si="206"/>
        <v>15800</v>
      </c>
      <c r="I132" s="177">
        <f t="shared" si="206"/>
        <v>0</v>
      </c>
      <c r="J132" s="177">
        <f t="shared" si="206"/>
        <v>430.6</v>
      </c>
      <c r="K132" s="177">
        <f t="shared" si="206"/>
        <v>16230.6</v>
      </c>
      <c r="L132" s="177">
        <f t="shared" si="206"/>
        <v>0</v>
      </c>
      <c r="M132" s="177">
        <f t="shared" si="206"/>
        <v>589.70000000000005</v>
      </c>
      <c r="N132" s="177">
        <f t="shared" si="206"/>
        <v>16820.3</v>
      </c>
      <c r="O132" s="177">
        <f t="shared" si="206"/>
        <v>0</v>
      </c>
      <c r="P132" s="177">
        <f t="shared" si="206"/>
        <v>29981.599999999999</v>
      </c>
      <c r="Q132" s="177">
        <f>SUM(Q133:Q134)</f>
        <v>46801.899999999994</v>
      </c>
      <c r="R132" s="178" t="s">
        <v>420</v>
      </c>
      <c r="S132" s="177">
        <f t="shared" ref="S132" si="207">SUM(S133:S134)</f>
        <v>1124.6000000000001</v>
      </c>
      <c r="T132" s="179">
        <f>SUM(T133:T134)</f>
        <v>47926.5</v>
      </c>
      <c r="U132" s="180" t="s">
        <v>475</v>
      </c>
    </row>
    <row r="133" spans="1:22" ht="67.5" hidden="1" customHeight="1" outlineLevel="1" x14ac:dyDescent="0.2">
      <c r="A133" s="81"/>
      <c r="B133" s="181" t="s">
        <v>259</v>
      </c>
      <c r="C133" s="182" t="s">
        <v>18</v>
      </c>
      <c r="D133" s="182" t="s">
        <v>10</v>
      </c>
      <c r="E133" s="182" t="s">
        <v>8</v>
      </c>
      <c r="F133" s="183">
        <v>15800</v>
      </c>
      <c r="G133" s="183"/>
      <c r="H133" s="183">
        <f>SUM(F133:G133)</f>
        <v>15800</v>
      </c>
      <c r="I133" s="183"/>
      <c r="J133" s="183">
        <v>430.6</v>
      </c>
      <c r="K133" s="183">
        <f>SUM(H133,J133)</f>
        <v>16230.6</v>
      </c>
      <c r="L133" s="184" t="s">
        <v>206</v>
      </c>
      <c r="M133" s="183">
        <f>512.1+14.2+63.4</f>
        <v>589.70000000000005</v>
      </c>
      <c r="N133" s="183">
        <f>SUM(K133,M133)</f>
        <v>16820.3</v>
      </c>
      <c r="O133" s="184" t="s">
        <v>299</v>
      </c>
      <c r="P133" s="183">
        <f>910.6+70</f>
        <v>980.6</v>
      </c>
      <c r="Q133" s="183">
        <f>SUM(N133,P133)</f>
        <v>17800.899999999998</v>
      </c>
      <c r="R133" s="184" t="s">
        <v>354</v>
      </c>
      <c r="S133" s="183">
        <f>244.5+473.9+93.6+364.9-52.3</f>
        <v>1124.6000000000001</v>
      </c>
      <c r="T133" s="185">
        <f>SUM(Q133,S133)</f>
        <v>18925.499999999996</v>
      </c>
      <c r="U133" s="186" t="s">
        <v>462</v>
      </c>
      <c r="V133" s="62" t="s">
        <v>460</v>
      </c>
    </row>
    <row r="134" spans="1:22" ht="150.75" hidden="1" customHeight="1" outlineLevel="1" x14ac:dyDescent="0.2">
      <c r="A134" s="81"/>
      <c r="B134" s="181" t="s">
        <v>259</v>
      </c>
      <c r="C134" s="182">
        <v>20</v>
      </c>
      <c r="D134" s="182">
        <v>2</v>
      </c>
      <c r="E134" s="182">
        <v>4</v>
      </c>
      <c r="F134" s="183"/>
      <c r="G134" s="183"/>
      <c r="H134" s="183"/>
      <c r="I134" s="183"/>
      <c r="J134" s="183"/>
      <c r="K134" s="183"/>
      <c r="L134" s="184"/>
      <c r="M134" s="183"/>
      <c r="N134" s="183"/>
      <c r="O134" s="184"/>
      <c r="P134" s="183">
        <f>26100.9+2900.1</f>
        <v>29001</v>
      </c>
      <c r="Q134" s="183">
        <f>SUM(N134,P134)</f>
        <v>29001</v>
      </c>
      <c r="R134" s="184" t="s">
        <v>497</v>
      </c>
      <c r="S134" s="183"/>
      <c r="T134" s="185">
        <f>SUM(Q134,S134)</f>
        <v>29001</v>
      </c>
      <c r="U134" s="186"/>
      <c r="V134" s="62" t="s">
        <v>460</v>
      </c>
    </row>
    <row r="135" spans="1:22" s="80" customFormat="1" ht="42" customHeight="1" collapsed="1" x14ac:dyDescent="0.2">
      <c r="A135" s="78"/>
      <c r="B135" s="175" t="s">
        <v>150</v>
      </c>
      <c r="C135" s="176" t="s">
        <v>18</v>
      </c>
      <c r="D135" s="176" t="s">
        <v>14</v>
      </c>
      <c r="E135" s="176" t="s">
        <v>3</v>
      </c>
      <c r="F135" s="177">
        <f>SUM(F136:F138)</f>
        <v>93446.9</v>
      </c>
      <c r="G135" s="177">
        <f t="shared" ref="G135:H135" si="208">SUM(G136:G138)</f>
        <v>0</v>
      </c>
      <c r="H135" s="177">
        <f t="shared" si="208"/>
        <v>93446.9</v>
      </c>
      <c r="I135" s="177"/>
      <c r="J135" s="177">
        <f t="shared" ref="J135:K135" si="209">SUM(J136:J138)</f>
        <v>17500</v>
      </c>
      <c r="K135" s="177">
        <f t="shared" si="209"/>
        <v>110946.9</v>
      </c>
      <c r="L135" s="178" t="s">
        <v>208</v>
      </c>
      <c r="M135" s="177">
        <f t="shared" ref="M135:N135" si="210">SUM(M136:M138)</f>
        <v>400</v>
      </c>
      <c r="N135" s="177">
        <f t="shared" si="210"/>
        <v>111346.9</v>
      </c>
      <c r="O135" s="178" t="s">
        <v>306</v>
      </c>
      <c r="P135" s="177">
        <f t="shared" ref="P135:Q135" si="211">SUM(P136:P138)</f>
        <v>5850.4</v>
      </c>
      <c r="Q135" s="177">
        <f t="shared" si="211"/>
        <v>117197.29999999999</v>
      </c>
      <c r="R135" s="178" t="s">
        <v>419</v>
      </c>
      <c r="S135" s="177">
        <f t="shared" ref="S135:T135" si="212">SUM(S136:S138)</f>
        <v>185.5</v>
      </c>
      <c r="T135" s="179">
        <f t="shared" si="212"/>
        <v>117382.79999999999</v>
      </c>
      <c r="U135" s="180" t="s">
        <v>451</v>
      </c>
    </row>
    <row r="136" spans="1:22" ht="45.75" hidden="1" customHeight="1" outlineLevel="1" x14ac:dyDescent="0.2">
      <c r="A136" s="81"/>
      <c r="B136" s="181" t="s">
        <v>151</v>
      </c>
      <c r="C136" s="182" t="s">
        <v>18</v>
      </c>
      <c r="D136" s="182" t="s">
        <v>14</v>
      </c>
      <c r="E136" s="182" t="s">
        <v>8</v>
      </c>
      <c r="F136" s="183">
        <v>29498.2</v>
      </c>
      <c r="G136" s="183"/>
      <c r="H136" s="183">
        <f>SUM(F136:G136)</f>
        <v>29498.2</v>
      </c>
      <c r="I136" s="183"/>
      <c r="J136" s="183">
        <f>17500</f>
        <v>17500</v>
      </c>
      <c r="K136" s="183">
        <f t="shared" ref="K136:K138" si="213">SUM(H136,J136)</f>
        <v>46998.2</v>
      </c>
      <c r="L136" s="184" t="s">
        <v>208</v>
      </c>
      <c r="M136" s="183"/>
      <c r="N136" s="183">
        <f t="shared" ref="N136:N138" si="214">SUM(K136,M136)</f>
        <v>46998.2</v>
      </c>
      <c r="O136" s="184"/>
      <c r="P136" s="183">
        <f>5134</f>
        <v>5134</v>
      </c>
      <c r="Q136" s="183">
        <f t="shared" ref="Q136:Q138" si="215">SUM(N136,P136)</f>
        <v>52132.2</v>
      </c>
      <c r="R136" s="196" t="s">
        <v>337</v>
      </c>
      <c r="S136" s="183"/>
      <c r="T136" s="185">
        <f t="shared" ref="T136:T138" si="216">SUM(Q136,S136)</f>
        <v>52132.2</v>
      </c>
      <c r="U136" s="186"/>
    </row>
    <row r="137" spans="1:22" ht="57.75" hidden="1" customHeight="1" outlineLevel="1" x14ac:dyDescent="0.2">
      <c r="A137" s="81"/>
      <c r="B137" s="181" t="s">
        <v>152</v>
      </c>
      <c r="C137" s="182" t="s">
        <v>18</v>
      </c>
      <c r="D137" s="182" t="s">
        <v>14</v>
      </c>
      <c r="E137" s="182" t="s">
        <v>7</v>
      </c>
      <c r="F137" s="183">
        <v>56268.7</v>
      </c>
      <c r="G137" s="183"/>
      <c r="H137" s="183">
        <f t="shared" ref="H137:H138" si="217">SUM(F137:G137)</f>
        <v>56268.7</v>
      </c>
      <c r="I137" s="183"/>
      <c r="J137" s="183"/>
      <c r="K137" s="183">
        <f t="shared" si="213"/>
        <v>56268.7</v>
      </c>
      <c r="L137" s="184"/>
      <c r="M137" s="183">
        <f>400</f>
        <v>400</v>
      </c>
      <c r="N137" s="183">
        <f t="shared" si="214"/>
        <v>56668.7</v>
      </c>
      <c r="O137" s="184" t="s">
        <v>265</v>
      </c>
      <c r="P137" s="183">
        <f>-249+752+63.4</f>
        <v>566.4</v>
      </c>
      <c r="Q137" s="183">
        <f t="shared" si="215"/>
        <v>57235.1</v>
      </c>
      <c r="R137" s="184" t="s">
        <v>377</v>
      </c>
      <c r="S137" s="183">
        <f>-100</f>
        <v>-100</v>
      </c>
      <c r="T137" s="185">
        <f t="shared" si="216"/>
        <v>57135.1</v>
      </c>
      <c r="U137" s="186" t="s">
        <v>429</v>
      </c>
    </row>
    <row r="138" spans="1:22" ht="48" hidden="1" customHeight="1" outlineLevel="1" x14ac:dyDescent="0.2">
      <c r="A138" s="81"/>
      <c r="B138" s="181" t="s">
        <v>153</v>
      </c>
      <c r="C138" s="182" t="s">
        <v>18</v>
      </c>
      <c r="D138" s="182" t="s">
        <v>14</v>
      </c>
      <c r="E138" s="182" t="s">
        <v>13</v>
      </c>
      <c r="F138" s="183">
        <v>7680</v>
      </c>
      <c r="G138" s="183"/>
      <c r="H138" s="183">
        <f t="shared" si="217"/>
        <v>7680</v>
      </c>
      <c r="I138" s="183"/>
      <c r="J138" s="183"/>
      <c r="K138" s="183">
        <f t="shared" si="213"/>
        <v>7680</v>
      </c>
      <c r="L138" s="184"/>
      <c r="M138" s="183"/>
      <c r="N138" s="183">
        <f t="shared" si="214"/>
        <v>7680</v>
      </c>
      <c r="O138" s="184"/>
      <c r="P138" s="183">
        <f>150</f>
        <v>150</v>
      </c>
      <c r="Q138" s="183">
        <f t="shared" si="215"/>
        <v>7830</v>
      </c>
      <c r="R138" s="184" t="s">
        <v>352</v>
      </c>
      <c r="S138" s="183">
        <f>285.5</f>
        <v>285.5</v>
      </c>
      <c r="T138" s="185">
        <f t="shared" si="216"/>
        <v>8115.5</v>
      </c>
      <c r="U138" s="186" t="s">
        <v>430</v>
      </c>
    </row>
    <row r="139" spans="1:22" s="80" customFormat="1" ht="68.25" customHeight="1" collapsed="1" thickBot="1" x14ac:dyDescent="0.25">
      <c r="A139" s="78"/>
      <c r="B139" s="175" t="s">
        <v>154</v>
      </c>
      <c r="C139" s="176" t="s">
        <v>18</v>
      </c>
      <c r="D139" s="176" t="s">
        <v>17</v>
      </c>
      <c r="E139" s="176" t="s">
        <v>3</v>
      </c>
      <c r="F139" s="177">
        <f>SUM(F140)</f>
        <v>25249.200000000001</v>
      </c>
      <c r="G139" s="177">
        <f t="shared" ref="G139:T139" si="218">SUM(G140)</f>
        <v>0</v>
      </c>
      <c r="H139" s="177">
        <f t="shared" si="218"/>
        <v>25249.200000000001</v>
      </c>
      <c r="I139" s="177"/>
      <c r="J139" s="177">
        <f t="shared" si="218"/>
        <v>0</v>
      </c>
      <c r="K139" s="177">
        <f t="shared" si="218"/>
        <v>25249.200000000001</v>
      </c>
      <c r="L139" s="178"/>
      <c r="M139" s="177">
        <f t="shared" si="218"/>
        <v>0</v>
      </c>
      <c r="N139" s="177">
        <f t="shared" si="218"/>
        <v>25249.200000000001</v>
      </c>
      <c r="O139" s="178"/>
      <c r="P139" s="177">
        <f t="shared" si="218"/>
        <v>0</v>
      </c>
      <c r="Q139" s="177">
        <f t="shared" si="218"/>
        <v>25249.200000000001</v>
      </c>
      <c r="R139" s="178"/>
      <c r="S139" s="177">
        <f t="shared" si="218"/>
        <v>-1500</v>
      </c>
      <c r="T139" s="179">
        <f t="shared" si="218"/>
        <v>23749.200000000001</v>
      </c>
      <c r="U139" s="180" t="s">
        <v>463</v>
      </c>
    </row>
    <row r="140" spans="1:22" ht="49.5" hidden="1" customHeight="1" outlineLevel="1" thickBot="1" x14ac:dyDescent="0.25">
      <c r="A140" s="81"/>
      <c r="B140" s="181" t="s">
        <v>155</v>
      </c>
      <c r="C140" s="182" t="s">
        <v>18</v>
      </c>
      <c r="D140" s="182" t="s">
        <v>17</v>
      </c>
      <c r="E140" s="182" t="s">
        <v>8</v>
      </c>
      <c r="F140" s="183">
        <v>25249.200000000001</v>
      </c>
      <c r="G140" s="183"/>
      <c r="H140" s="183">
        <f>SUM(F140:G140)</f>
        <v>25249.200000000001</v>
      </c>
      <c r="I140" s="183"/>
      <c r="J140" s="183"/>
      <c r="K140" s="183">
        <f>SUM(H140,J140)</f>
        <v>25249.200000000001</v>
      </c>
      <c r="L140" s="184"/>
      <c r="M140" s="183"/>
      <c r="N140" s="183">
        <f>SUM(K140,M140)</f>
        <v>25249.200000000001</v>
      </c>
      <c r="O140" s="184"/>
      <c r="P140" s="183"/>
      <c r="Q140" s="183">
        <f>SUM(N140,P140)</f>
        <v>25249.200000000001</v>
      </c>
      <c r="R140" s="216"/>
      <c r="S140" s="183">
        <f>-1500</f>
        <v>-1500</v>
      </c>
      <c r="T140" s="185">
        <f>SUM(Q140,S140)</f>
        <v>23749.200000000001</v>
      </c>
      <c r="U140" s="186" t="s">
        <v>463</v>
      </c>
    </row>
    <row r="141" spans="1:22" s="125" customFormat="1" ht="49.5" customHeight="1" collapsed="1" thickBot="1" x14ac:dyDescent="0.3">
      <c r="A141" s="124"/>
      <c r="B141" s="169" t="s">
        <v>156</v>
      </c>
      <c r="C141" s="170" t="s">
        <v>16</v>
      </c>
      <c r="D141" s="170" t="s">
        <v>3</v>
      </c>
      <c r="E141" s="170" t="s">
        <v>3</v>
      </c>
      <c r="F141" s="171">
        <f>SUM(F142)</f>
        <v>1151.0999999999999</v>
      </c>
      <c r="G141" s="171">
        <f t="shared" ref="G141:T141" si="219">SUM(G142)</f>
        <v>0</v>
      </c>
      <c r="H141" s="171">
        <f t="shared" si="219"/>
        <v>1151.0999999999999</v>
      </c>
      <c r="I141" s="171"/>
      <c r="J141" s="171">
        <f t="shared" si="219"/>
        <v>11.7</v>
      </c>
      <c r="K141" s="171">
        <f t="shared" si="219"/>
        <v>1162.8</v>
      </c>
      <c r="L141" s="187" t="s">
        <v>233</v>
      </c>
      <c r="M141" s="171">
        <f t="shared" si="219"/>
        <v>21000</v>
      </c>
      <c r="N141" s="171">
        <f t="shared" si="219"/>
        <v>22162.799999999999</v>
      </c>
      <c r="O141" s="217" t="s">
        <v>334</v>
      </c>
      <c r="P141" s="171">
        <f t="shared" si="219"/>
        <v>-5155</v>
      </c>
      <c r="Q141" s="173">
        <f t="shared" si="219"/>
        <v>17007.8</v>
      </c>
      <c r="R141" s="218" t="s">
        <v>417</v>
      </c>
      <c r="S141" s="171">
        <f t="shared" si="219"/>
        <v>0</v>
      </c>
      <c r="T141" s="173">
        <f t="shared" si="219"/>
        <v>17007.8</v>
      </c>
      <c r="U141" s="174"/>
    </row>
    <row r="142" spans="1:22" ht="66" hidden="1" customHeight="1" outlineLevel="1" x14ac:dyDescent="0.2">
      <c r="A142" s="81"/>
      <c r="B142" s="181" t="s">
        <v>157</v>
      </c>
      <c r="C142" s="182" t="s">
        <v>16</v>
      </c>
      <c r="D142" s="182" t="s">
        <v>1</v>
      </c>
      <c r="E142" s="182" t="s">
        <v>8</v>
      </c>
      <c r="F142" s="183">
        <v>1151.0999999999999</v>
      </c>
      <c r="G142" s="183"/>
      <c r="H142" s="183">
        <f>SUM(F142:G142)</f>
        <v>1151.0999999999999</v>
      </c>
      <c r="I142" s="183"/>
      <c r="J142" s="183">
        <f>11.7</f>
        <v>11.7</v>
      </c>
      <c r="K142" s="183">
        <f>SUM(H142,J142)</f>
        <v>1162.8</v>
      </c>
      <c r="L142" s="184" t="s">
        <v>226</v>
      </c>
      <c r="M142" s="183">
        <v>21000</v>
      </c>
      <c r="N142" s="183">
        <f>SUM(K142,M142)</f>
        <v>22162.799999999999</v>
      </c>
      <c r="O142" s="219" t="s">
        <v>334</v>
      </c>
      <c r="P142" s="183">
        <f>9798-14948-5</f>
        <v>-5155</v>
      </c>
      <c r="Q142" s="183">
        <f>SUM(N142,P142)</f>
        <v>17007.8</v>
      </c>
      <c r="R142" s="220" t="s">
        <v>390</v>
      </c>
      <c r="S142" s="183"/>
      <c r="T142" s="185">
        <f>SUM(Q142,S142)</f>
        <v>17007.8</v>
      </c>
      <c r="U142" s="186"/>
    </row>
    <row r="143" spans="1:22" s="77" customFormat="1" ht="27.75" customHeight="1" collapsed="1" x14ac:dyDescent="0.25">
      <c r="A143" s="75"/>
      <c r="B143" s="169" t="s">
        <v>158</v>
      </c>
      <c r="C143" s="170" t="s">
        <v>15</v>
      </c>
      <c r="D143" s="170" t="s">
        <v>3</v>
      </c>
      <c r="E143" s="170" t="s">
        <v>3</v>
      </c>
      <c r="F143" s="171">
        <f>SUM(F144,F148,F150)</f>
        <v>486009.5</v>
      </c>
      <c r="G143" s="171">
        <f t="shared" ref="G143:H143" si="220">SUM(G144,G148,G150)</f>
        <v>367.3</v>
      </c>
      <c r="H143" s="171">
        <f t="shared" si="220"/>
        <v>486376.80000000005</v>
      </c>
      <c r="I143" s="171"/>
      <c r="J143" s="171">
        <f t="shared" ref="J143:K143" si="221">SUM(J144,J148,J150)</f>
        <v>36.699999999999989</v>
      </c>
      <c r="K143" s="171">
        <f t="shared" si="221"/>
        <v>486413.5</v>
      </c>
      <c r="L143" s="172"/>
      <c r="M143" s="171">
        <f t="shared" ref="M143:N143" si="222">SUM(M144,M148,M150)</f>
        <v>-16406.2</v>
      </c>
      <c r="N143" s="171">
        <f t="shared" si="222"/>
        <v>470007.3</v>
      </c>
      <c r="O143" s="172"/>
      <c r="P143" s="171">
        <f t="shared" ref="P143:Q143" si="223">SUM(P144,P148,P150)</f>
        <v>22642.3</v>
      </c>
      <c r="Q143" s="171">
        <f t="shared" si="223"/>
        <v>492649.6</v>
      </c>
      <c r="R143" s="172"/>
      <c r="S143" s="171">
        <f t="shared" ref="S143:T143" si="224">SUM(S144,S148,S150)</f>
        <v>2326.1000000000004</v>
      </c>
      <c r="T143" s="173">
        <f t="shared" si="224"/>
        <v>494975.69999999995</v>
      </c>
      <c r="U143" s="174"/>
    </row>
    <row r="144" spans="1:22" s="80" customFormat="1" ht="125.25" customHeight="1" x14ac:dyDescent="0.2">
      <c r="A144" s="78"/>
      <c r="B144" s="175" t="s">
        <v>159</v>
      </c>
      <c r="C144" s="176" t="s">
        <v>15</v>
      </c>
      <c r="D144" s="176" t="s">
        <v>12</v>
      </c>
      <c r="E144" s="176" t="s">
        <v>3</v>
      </c>
      <c r="F144" s="177">
        <f>SUM(F145:F147)</f>
        <v>229512</v>
      </c>
      <c r="G144" s="177">
        <f t="shared" ref="G144:H144" si="225">SUM(G145:G147)</f>
        <v>367.3</v>
      </c>
      <c r="H144" s="177">
        <f t="shared" si="225"/>
        <v>229879.3</v>
      </c>
      <c r="I144" s="178" t="s">
        <v>180</v>
      </c>
      <c r="J144" s="177">
        <f t="shared" ref="J144:K144" si="226">SUM(J145:J147)</f>
        <v>0</v>
      </c>
      <c r="K144" s="177">
        <f t="shared" si="226"/>
        <v>229879.3</v>
      </c>
      <c r="L144" s="178"/>
      <c r="M144" s="177">
        <f t="shared" ref="M144:N144" si="227">SUM(M145:M147)</f>
        <v>-16406.2</v>
      </c>
      <c r="N144" s="177">
        <f t="shared" si="227"/>
        <v>213473.09999999998</v>
      </c>
      <c r="O144" s="178" t="s">
        <v>333</v>
      </c>
      <c r="P144" s="177">
        <f>SUM(P145:P147)</f>
        <v>10397.299999999999</v>
      </c>
      <c r="Q144" s="177">
        <f t="shared" ref="Q144" si="228">SUM(Q145:Q147)</f>
        <v>223870.39999999997</v>
      </c>
      <c r="R144" s="178" t="s">
        <v>410</v>
      </c>
      <c r="S144" s="177">
        <f>SUM(S145:S147)</f>
        <v>2489</v>
      </c>
      <c r="T144" s="179">
        <f t="shared" ref="T144" si="229">SUM(T145:T147)</f>
        <v>226359.39999999997</v>
      </c>
      <c r="U144" s="180" t="s">
        <v>486</v>
      </c>
    </row>
    <row r="145" spans="1:21" ht="54.75" hidden="1" customHeight="1" outlineLevel="1" x14ac:dyDescent="0.2">
      <c r="A145" s="81"/>
      <c r="B145" s="181" t="s">
        <v>160</v>
      </c>
      <c r="C145" s="182" t="s">
        <v>15</v>
      </c>
      <c r="D145" s="182" t="s">
        <v>12</v>
      </c>
      <c r="E145" s="182" t="s">
        <v>8</v>
      </c>
      <c r="F145" s="183">
        <v>193769.9</v>
      </c>
      <c r="G145" s="183"/>
      <c r="H145" s="183">
        <f>SUM(F145:G145)</f>
        <v>193769.9</v>
      </c>
      <c r="I145" s="183"/>
      <c r="J145" s="183"/>
      <c r="K145" s="183">
        <f t="shared" ref="K145:K147" si="230">SUM(H145,J145)</f>
        <v>193769.9</v>
      </c>
      <c r="L145" s="184"/>
      <c r="M145" s="183">
        <f>-6.2-16400</f>
        <v>-16406.2</v>
      </c>
      <c r="N145" s="183">
        <f t="shared" ref="N145:N147" si="231">SUM(K145,M145)</f>
        <v>177363.69999999998</v>
      </c>
      <c r="O145" s="208" t="s">
        <v>332</v>
      </c>
      <c r="P145" s="183">
        <f>7400+6052+2948-5745+204.7+52.3</f>
        <v>10912</v>
      </c>
      <c r="Q145" s="183">
        <f t="shared" ref="Q145:Q147" si="232">SUM(N145,P145)</f>
        <v>188275.69999999998</v>
      </c>
      <c r="R145" s="208" t="s">
        <v>412</v>
      </c>
      <c r="S145" s="183">
        <f>1862.1+200-26+550</f>
        <v>2586.1</v>
      </c>
      <c r="T145" s="185">
        <f t="shared" ref="T145:T147" si="233">SUM(Q145,S145)</f>
        <v>190861.8</v>
      </c>
      <c r="U145" s="186" t="s">
        <v>485</v>
      </c>
    </row>
    <row r="146" spans="1:21" ht="78.75" hidden="1" customHeight="1" outlineLevel="1" x14ac:dyDescent="0.2">
      <c r="A146" s="81"/>
      <c r="B146" s="181" t="s">
        <v>161</v>
      </c>
      <c r="C146" s="182" t="s">
        <v>15</v>
      </c>
      <c r="D146" s="182" t="s">
        <v>12</v>
      </c>
      <c r="E146" s="182" t="s">
        <v>7</v>
      </c>
      <c r="F146" s="183">
        <v>34242.1</v>
      </c>
      <c r="G146" s="183">
        <f>367.3</f>
        <v>367.3</v>
      </c>
      <c r="H146" s="183">
        <f t="shared" ref="H146:H147" si="234">SUM(F146:G146)</f>
        <v>34609.4</v>
      </c>
      <c r="I146" s="221" t="s">
        <v>180</v>
      </c>
      <c r="J146" s="183"/>
      <c r="K146" s="183">
        <f t="shared" si="230"/>
        <v>34609.4</v>
      </c>
      <c r="L146" s="221"/>
      <c r="M146" s="183"/>
      <c r="N146" s="183">
        <f t="shared" si="231"/>
        <v>34609.4</v>
      </c>
      <c r="O146" s="221"/>
      <c r="P146" s="183"/>
      <c r="Q146" s="183">
        <f t="shared" si="232"/>
        <v>34609.4</v>
      </c>
      <c r="R146" s="221"/>
      <c r="S146" s="183">
        <f>33.2-130.3</f>
        <v>-97.100000000000009</v>
      </c>
      <c r="T146" s="185">
        <f t="shared" si="233"/>
        <v>34512.300000000003</v>
      </c>
      <c r="U146" s="222" t="s">
        <v>424</v>
      </c>
    </row>
    <row r="147" spans="1:21" ht="34.5" hidden="1" customHeight="1" outlineLevel="1" x14ac:dyDescent="0.2">
      <c r="A147" s="81"/>
      <c r="B147" s="181" t="s">
        <v>162</v>
      </c>
      <c r="C147" s="182" t="s">
        <v>15</v>
      </c>
      <c r="D147" s="182" t="s">
        <v>12</v>
      </c>
      <c r="E147" s="182" t="s">
        <v>13</v>
      </c>
      <c r="F147" s="183">
        <v>1500</v>
      </c>
      <c r="G147" s="183"/>
      <c r="H147" s="183">
        <f t="shared" si="234"/>
        <v>1500</v>
      </c>
      <c r="I147" s="183"/>
      <c r="J147" s="183"/>
      <c r="K147" s="183">
        <f t="shared" si="230"/>
        <v>1500</v>
      </c>
      <c r="L147" s="184"/>
      <c r="M147" s="183"/>
      <c r="N147" s="183">
        <f t="shared" si="231"/>
        <v>1500</v>
      </c>
      <c r="O147" s="184"/>
      <c r="P147" s="183">
        <v>-514.70000000000005</v>
      </c>
      <c r="Q147" s="183">
        <f t="shared" si="232"/>
        <v>985.3</v>
      </c>
      <c r="R147" s="184" t="s">
        <v>372</v>
      </c>
      <c r="S147" s="183"/>
      <c r="T147" s="185">
        <f t="shared" si="233"/>
        <v>985.3</v>
      </c>
      <c r="U147" s="186"/>
    </row>
    <row r="148" spans="1:21" s="80" customFormat="1" ht="36.75" customHeight="1" collapsed="1" x14ac:dyDescent="0.2">
      <c r="A148" s="78"/>
      <c r="B148" s="175" t="s">
        <v>163</v>
      </c>
      <c r="C148" s="176" t="s">
        <v>15</v>
      </c>
      <c r="D148" s="176" t="s">
        <v>10</v>
      </c>
      <c r="E148" s="176" t="s">
        <v>3</v>
      </c>
      <c r="F148" s="177">
        <f>SUM(F149)</f>
        <v>43173.9</v>
      </c>
      <c r="G148" s="177">
        <f t="shared" ref="G148:T148" si="235">SUM(G149)</f>
        <v>0</v>
      </c>
      <c r="H148" s="177">
        <f t="shared" si="235"/>
        <v>43173.9</v>
      </c>
      <c r="I148" s="177"/>
      <c r="J148" s="177">
        <f t="shared" si="235"/>
        <v>406.7</v>
      </c>
      <c r="K148" s="177">
        <f t="shared" si="235"/>
        <v>43580.6</v>
      </c>
      <c r="L148" s="178" t="s">
        <v>214</v>
      </c>
      <c r="M148" s="177">
        <f t="shared" si="235"/>
        <v>0</v>
      </c>
      <c r="N148" s="177">
        <f t="shared" si="235"/>
        <v>43580.6</v>
      </c>
      <c r="O148" s="178"/>
      <c r="P148" s="177">
        <f t="shared" si="235"/>
        <v>0</v>
      </c>
      <c r="Q148" s="177">
        <f t="shared" si="235"/>
        <v>43580.6</v>
      </c>
      <c r="R148" s="178"/>
      <c r="S148" s="177">
        <f t="shared" si="235"/>
        <v>125.8</v>
      </c>
      <c r="T148" s="179">
        <f t="shared" si="235"/>
        <v>43706.400000000001</v>
      </c>
      <c r="U148" s="180" t="s">
        <v>489</v>
      </c>
    </row>
    <row r="149" spans="1:21" ht="42.75" hidden="1" outlineLevel="1" x14ac:dyDescent="0.2">
      <c r="A149" s="81"/>
      <c r="B149" s="181" t="s">
        <v>164</v>
      </c>
      <c r="C149" s="182" t="s">
        <v>15</v>
      </c>
      <c r="D149" s="182" t="s">
        <v>10</v>
      </c>
      <c r="E149" s="182" t="s">
        <v>8</v>
      </c>
      <c r="F149" s="183">
        <v>43173.9</v>
      </c>
      <c r="G149" s="183"/>
      <c r="H149" s="183">
        <f>SUM(F149:G149)</f>
        <v>43173.9</v>
      </c>
      <c r="I149" s="183"/>
      <c r="J149" s="183">
        <f>406.7</f>
        <v>406.7</v>
      </c>
      <c r="K149" s="183">
        <f>SUM(H149,J149)</f>
        <v>43580.6</v>
      </c>
      <c r="L149" s="184" t="s">
        <v>214</v>
      </c>
      <c r="M149" s="183"/>
      <c r="N149" s="183">
        <f>SUM(K149,M149)</f>
        <v>43580.6</v>
      </c>
      <c r="O149" s="184"/>
      <c r="P149" s="183"/>
      <c r="Q149" s="183">
        <f>SUM(N149,P149)</f>
        <v>43580.6</v>
      </c>
      <c r="R149" s="184"/>
      <c r="S149" s="183">
        <v>125.8</v>
      </c>
      <c r="T149" s="185">
        <f>SUM(Q149,S149)</f>
        <v>43706.400000000001</v>
      </c>
      <c r="U149" s="186" t="s">
        <v>489</v>
      </c>
    </row>
    <row r="150" spans="1:21" s="80" customFormat="1" ht="110.25" customHeight="1" collapsed="1" x14ac:dyDescent="0.2">
      <c r="A150" s="78"/>
      <c r="B150" s="175" t="s">
        <v>165</v>
      </c>
      <c r="C150" s="176" t="s">
        <v>15</v>
      </c>
      <c r="D150" s="176" t="s">
        <v>14</v>
      </c>
      <c r="E150" s="176" t="s">
        <v>3</v>
      </c>
      <c r="F150" s="177">
        <f>SUM(F151:F153)</f>
        <v>213323.6</v>
      </c>
      <c r="G150" s="177">
        <f t="shared" ref="G150:H150" si="236">SUM(G151:G153)</f>
        <v>0</v>
      </c>
      <c r="H150" s="177">
        <f t="shared" si="236"/>
        <v>213323.6</v>
      </c>
      <c r="I150" s="177"/>
      <c r="J150" s="177">
        <f t="shared" ref="J150:K150" si="237">SUM(J151:J153)</f>
        <v>-370</v>
      </c>
      <c r="K150" s="177">
        <f t="shared" si="237"/>
        <v>212953.60000000001</v>
      </c>
      <c r="L150" s="178" t="s">
        <v>231</v>
      </c>
      <c r="M150" s="177">
        <f t="shared" ref="M150:N150" si="238">SUM(M151:M153)</f>
        <v>0</v>
      </c>
      <c r="N150" s="177">
        <f t="shared" si="238"/>
        <v>212953.60000000001</v>
      </c>
      <c r="O150" s="178" t="s">
        <v>325</v>
      </c>
      <c r="P150" s="177">
        <f t="shared" ref="P150:Q150" si="239">SUM(P151:P153)</f>
        <v>12245</v>
      </c>
      <c r="Q150" s="177">
        <f t="shared" si="239"/>
        <v>225198.6</v>
      </c>
      <c r="R150" s="178" t="s">
        <v>393</v>
      </c>
      <c r="S150" s="177">
        <f t="shared" ref="S150:T150" si="240">SUM(S151:S153)</f>
        <v>-288.69999999999982</v>
      </c>
      <c r="T150" s="179">
        <f t="shared" si="240"/>
        <v>224909.9</v>
      </c>
      <c r="U150" s="180" t="s">
        <v>488</v>
      </c>
    </row>
    <row r="151" spans="1:21" ht="65.25" hidden="1" customHeight="1" outlineLevel="1" x14ac:dyDescent="0.2">
      <c r="A151" s="81"/>
      <c r="B151" s="181" t="s">
        <v>166</v>
      </c>
      <c r="C151" s="182" t="s">
        <v>15</v>
      </c>
      <c r="D151" s="182" t="s">
        <v>14</v>
      </c>
      <c r="E151" s="182" t="s">
        <v>8</v>
      </c>
      <c r="F151" s="183">
        <v>116546.8</v>
      </c>
      <c r="G151" s="183"/>
      <c r="H151" s="183">
        <f>SUM(F151:G151)</f>
        <v>116546.8</v>
      </c>
      <c r="I151" s="183"/>
      <c r="J151" s="183">
        <v>-370</v>
      </c>
      <c r="K151" s="183">
        <f t="shared" ref="K151:K153" si="241">SUM(H151,J151)</f>
        <v>116176.8</v>
      </c>
      <c r="L151" s="184" t="s">
        <v>204</v>
      </c>
      <c r="M151" s="183"/>
      <c r="N151" s="183">
        <f t="shared" ref="N151:N153" si="242">SUM(K151,M151)</f>
        <v>116176.8</v>
      </c>
      <c r="O151" s="184"/>
      <c r="P151" s="183">
        <f>-1414.9+500+6000</f>
        <v>5085.1000000000004</v>
      </c>
      <c r="Q151" s="183">
        <f t="shared" ref="Q151:Q153" si="243">SUM(N151,P151)</f>
        <v>121261.90000000001</v>
      </c>
      <c r="R151" s="196" t="s">
        <v>371</v>
      </c>
      <c r="S151" s="183">
        <f>304.2+606+567.1</f>
        <v>1477.3000000000002</v>
      </c>
      <c r="T151" s="185">
        <f t="shared" ref="T151:T153" si="244">SUM(Q151,S151)</f>
        <v>122739.20000000001</v>
      </c>
      <c r="U151" s="186" t="s">
        <v>487</v>
      </c>
    </row>
    <row r="152" spans="1:21" ht="81.75" hidden="1" customHeight="1" outlineLevel="1" x14ac:dyDescent="0.2">
      <c r="A152" s="81"/>
      <c r="B152" s="181" t="s">
        <v>167</v>
      </c>
      <c r="C152" s="182" t="s">
        <v>15</v>
      </c>
      <c r="D152" s="182" t="s">
        <v>14</v>
      </c>
      <c r="E152" s="182" t="s">
        <v>7</v>
      </c>
      <c r="F152" s="183">
        <v>48889.2</v>
      </c>
      <c r="G152" s="183"/>
      <c r="H152" s="183">
        <f t="shared" ref="H152:H153" si="245">SUM(F152:G152)</f>
        <v>48889.2</v>
      </c>
      <c r="I152" s="183"/>
      <c r="J152" s="183"/>
      <c r="K152" s="183">
        <f t="shared" si="241"/>
        <v>48889.2</v>
      </c>
      <c r="L152" s="184"/>
      <c r="M152" s="183">
        <v>263.7</v>
      </c>
      <c r="N152" s="183">
        <f t="shared" si="242"/>
        <v>49152.899999999994</v>
      </c>
      <c r="O152" s="184" t="s">
        <v>319</v>
      </c>
      <c r="P152" s="183">
        <v>7159.9</v>
      </c>
      <c r="Q152" s="183">
        <f t="shared" si="243"/>
        <v>56312.799999999996</v>
      </c>
      <c r="R152" s="201" t="s">
        <v>349</v>
      </c>
      <c r="S152" s="183">
        <f>-2066</f>
        <v>-2066</v>
      </c>
      <c r="T152" s="185">
        <f t="shared" si="244"/>
        <v>54246.799999999996</v>
      </c>
      <c r="U152" s="186" t="s">
        <v>477</v>
      </c>
    </row>
    <row r="153" spans="1:21" ht="75.75" hidden="1" customHeight="1" outlineLevel="1" x14ac:dyDescent="0.2">
      <c r="A153" s="81"/>
      <c r="B153" s="181" t="s">
        <v>168</v>
      </c>
      <c r="C153" s="182" t="s">
        <v>15</v>
      </c>
      <c r="D153" s="182" t="s">
        <v>14</v>
      </c>
      <c r="E153" s="182" t="s">
        <v>13</v>
      </c>
      <c r="F153" s="183">
        <v>47887.6</v>
      </c>
      <c r="G153" s="183"/>
      <c r="H153" s="183">
        <f t="shared" si="245"/>
        <v>47887.6</v>
      </c>
      <c r="I153" s="183"/>
      <c r="J153" s="183"/>
      <c r="K153" s="183">
        <f t="shared" si="241"/>
        <v>47887.6</v>
      </c>
      <c r="L153" s="184"/>
      <c r="M153" s="183">
        <f>-263.7</f>
        <v>-263.7</v>
      </c>
      <c r="N153" s="183">
        <f t="shared" si="242"/>
        <v>47623.9</v>
      </c>
      <c r="O153" s="184" t="s">
        <v>324</v>
      </c>
      <c r="P153" s="183"/>
      <c r="Q153" s="183">
        <f t="shared" si="243"/>
        <v>47623.9</v>
      </c>
      <c r="R153" s="184"/>
      <c r="S153" s="183">
        <v>300</v>
      </c>
      <c r="T153" s="185">
        <f t="shared" si="244"/>
        <v>47923.9</v>
      </c>
      <c r="U153" s="186" t="s">
        <v>437</v>
      </c>
    </row>
    <row r="154" spans="1:21" s="77" customFormat="1" ht="49.5" customHeight="1" collapsed="1" x14ac:dyDescent="0.25">
      <c r="A154" s="75"/>
      <c r="B154" s="169" t="s">
        <v>169</v>
      </c>
      <c r="C154" s="170" t="s">
        <v>11</v>
      </c>
      <c r="D154" s="170" t="s">
        <v>3</v>
      </c>
      <c r="E154" s="170" t="s">
        <v>3</v>
      </c>
      <c r="F154" s="171">
        <f>SUM(F155,F158)</f>
        <v>15940</v>
      </c>
      <c r="G154" s="171">
        <f>SUM(G155,G158)</f>
        <v>7360.4</v>
      </c>
      <c r="H154" s="171">
        <f>SUM(H155,H158)</f>
        <v>23300.400000000001</v>
      </c>
      <c r="I154" s="171"/>
      <c r="J154" s="171">
        <f>SUM(J155,J158)</f>
        <v>797</v>
      </c>
      <c r="K154" s="171">
        <f>SUM(K155,K158)</f>
        <v>24097.4</v>
      </c>
      <c r="L154" s="172"/>
      <c r="M154" s="171">
        <f>SUM(M155,M158)</f>
        <v>5565.5</v>
      </c>
      <c r="N154" s="171">
        <f>SUM(N155,N158)</f>
        <v>29662.9</v>
      </c>
      <c r="O154" s="172"/>
      <c r="P154" s="171">
        <f>SUM(P155,P158)</f>
        <v>264.2</v>
      </c>
      <c r="Q154" s="171">
        <f>SUM(Q155,Q158)</f>
        <v>29927.100000000002</v>
      </c>
      <c r="R154" s="172"/>
      <c r="S154" s="171">
        <f>SUM(S155,S158)</f>
        <v>0</v>
      </c>
      <c r="T154" s="173">
        <f>SUM(T155,T158)</f>
        <v>29927.100000000002</v>
      </c>
      <c r="U154" s="174"/>
    </row>
    <row r="155" spans="1:21" s="80" customFormat="1" ht="37.5" customHeight="1" x14ac:dyDescent="0.2">
      <c r="A155" s="78"/>
      <c r="B155" s="175" t="s">
        <v>170</v>
      </c>
      <c r="C155" s="176" t="s">
        <v>11</v>
      </c>
      <c r="D155" s="176" t="s">
        <v>12</v>
      </c>
      <c r="E155" s="176" t="s">
        <v>3</v>
      </c>
      <c r="F155" s="177">
        <f>SUM(F156:F157)</f>
        <v>7470</v>
      </c>
      <c r="G155" s="177">
        <f t="shared" ref="G155:N155" si="246">SUM(G156:G157)</f>
        <v>2258.1</v>
      </c>
      <c r="H155" s="177">
        <f t="shared" si="246"/>
        <v>9728.1</v>
      </c>
      <c r="I155" s="177">
        <f t="shared" si="246"/>
        <v>0</v>
      </c>
      <c r="J155" s="177">
        <f t="shared" si="246"/>
        <v>398.5</v>
      </c>
      <c r="K155" s="177">
        <f t="shared" si="246"/>
        <v>10126.6</v>
      </c>
      <c r="L155" s="177">
        <f t="shared" si="246"/>
        <v>0</v>
      </c>
      <c r="M155" s="177">
        <f t="shared" si="246"/>
        <v>-10035.5</v>
      </c>
      <c r="N155" s="177">
        <f t="shared" si="246"/>
        <v>91.1</v>
      </c>
      <c r="O155" s="178" t="s">
        <v>305</v>
      </c>
      <c r="P155" s="177">
        <f t="shared" ref="P155:Q155" si="247">SUM(P156:P157)</f>
        <v>-0.1</v>
      </c>
      <c r="Q155" s="177">
        <f t="shared" si="247"/>
        <v>91</v>
      </c>
      <c r="R155" s="178" t="s">
        <v>346</v>
      </c>
      <c r="S155" s="177">
        <f t="shared" ref="S155:T155" si="248">SUM(S156:S157)</f>
        <v>0</v>
      </c>
      <c r="T155" s="179">
        <f t="shared" si="248"/>
        <v>91</v>
      </c>
      <c r="U155" s="180"/>
    </row>
    <row r="156" spans="1:21" ht="113.25" hidden="1" customHeight="1" outlineLevel="1" x14ac:dyDescent="0.2">
      <c r="A156" s="81"/>
      <c r="B156" s="181" t="s">
        <v>272</v>
      </c>
      <c r="C156" s="182" t="s">
        <v>11</v>
      </c>
      <c r="D156" s="182" t="s">
        <v>12</v>
      </c>
      <c r="E156" s="182" t="s">
        <v>8</v>
      </c>
      <c r="F156" s="183">
        <v>0</v>
      </c>
      <c r="G156" s="183"/>
      <c r="H156" s="183">
        <v>0</v>
      </c>
      <c r="I156" s="184"/>
      <c r="J156" s="183"/>
      <c r="K156" s="183">
        <f>SUM(H156,J156)</f>
        <v>0</v>
      </c>
      <c r="L156" s="184"/>
      <c r="M156" s="183">
        <f>91.1</f>
        <v>91.1</v>
      </c>
      <c r="N156" s="183">
        <f>SUM(K156,M156)</f>
        <v>91.1</v>
      </c>
      <c r="O156" s="184" t="s">
        <v>273</v>
      </c>
      <c r="P156" s="183">
        <f>-0.1</f>
        <v>-0.1</v>
      </c>
      <c r="Q156" s="183">
        <f>SUM(N156,P156)</f>
        <v>91</v>
      </c>
      <c r="R156" s="184" t="s">
        <v>346</v>
      </c>
      <c r="S156" s="183"/>
      <c r="T156" s="185">
        <f>SUM(Q156,S156)</f>
        <v>91</v>
      </c>
      <c r="U156" s="186"/>
    </row>
    <row r="157" spans="1:21" ht="30" hidden="1" customHeight="1" outlineLevel="1" x14ac:dyDescent="0.2">
      <c r="A157" s="81"/>
      <c r="B157" s="181" t="s">
        <v>274</v>
      </c>
      <c r="C157" s="182" t="s">
        <v>11</v>
      </c>
      <c r="D157" s="182" t="s">
        <v>12</v>
      </c>
      <c r="E157" s="182" t="s">
        <v>9</v>
      </c>
      <c r="F157" s="183">
        <v>7470</v>
      </c>
      <c r="G157" s="183">
        <f>3357-1098.9</f>
        <v>2258.1</v>
      </c>
      <c r="H157" s="183">
        <f>SUM(F157:G157)</f>
        <v>9728.1</v>
      </c>
      <c r="I157" s="184" t="s">
        <v>191</v>
      </c>
      <c r="J157" s="183">
        <v>398.5</v>
      </c>
      <c r="K157" s="183">
        <f>SUM(H157,J157)</f>
        <v>10126.6</v>
      </c>
      <c r="L157" s="184" t="s">
        <v>212</v>
      </c>
      <c r="M157" s="183">
        <f>-3357-5250.6-1519</f>
        <v>-10126.6</v>
      </c>
      <c r="N157" s="183">
        <f>SUM(K157,M157)</f>
        <v>0</v>
      </c>
      <c r="O157" s="184" t="s">
        <v>250</v>
      </c>
      <c r="P157" s="183"/>
      <c r="Q157" s="183">
        <f>SUM(N157,P157)</f>
        <v>0</v>
      </c>
      <c r="R157" s="184"/>
      <c r="S157" s="183"/>
      <c r="T157" s="185">
        <f>SUM(Q157,S157)</f>
        <v>0</v>
      </c>
      <c r="U157" s="186"/>
    </row>
    <row r="158" spans="1:21" s="80" customFormat="1" ht="31.5" customHeight="1" collapsed="1" x14ac:dyDescent="0.2">
      <c r="A158" s="78"/>
      <c r="B158" s="175" t="s">
        <v>171</v>
      </c>
      <c r="C158" s="176" t="s">
        <v>11</v>
      </c>
      <c r="D158" s="176" t="s">
        <v>10</v>
      </c>
      <c r="E158" s="176" t="s">
        <v>3</v>
      </c>
      <c r="F158" s="177">
        <f>SUM(F159:F160)</f>
        <v>8470</v>
      </c>
      <c r="G158" s="177">
        <f t="shared" ref="G158:H158" si="249">SUM(G159:G160)</f>
        <v>5102.3</v>
      </c>
      <c r="H158" s="177">
        <f t="shared" si="249"/>
        <v>13572.3</v>
      </c>
      <c r="I158" s="190" t="s">
        <v>260</v>
      </c>
      <c r="J158" s="177">
        <f t="shared" ref="J158:K158" si="250">SUM(J159:J160)</f>
        <v>398.5</v>
      </c>
      <c r="K158" s="177">
        <f t="shared" si="250"/>
        <v>13970.8</v>
      </c>
      <c r="L158" s="190" t="s">
        <v>213</v>
      </c>
      <c r="M158" s="177">
        <f t="shared" ref="M158:N158" si="251">SUM(M159:M160)</f>
        <v>15601</v>
      </c>
      <c r="N158" s="177">
        <f t="shared" si="251"/>
        <v>29571.800000000003</v>
      </c>
      <c r="O158" s="190" t="s">
        <v>322</v>
      </c>
      <c r="P158" s="177">
        <f t="shared" ref="P158:Q158" si="252">SUM(P159:P160)</f>
        <v>264.3</v>
      </c>
      <c r="Q158" s="177">
        <f t="shared" si="252"/>
        <v>29836.100000000002</v>
      </c>
      <c r="R158" s="190" t="s">
        <v>347</v>
      </c>
      <c r="S158" s="177">
        <f t="shared" ref="S158:T158" si="253">SUM(S159:S160)</f>
        <v>0</v>
      </c>
      <c r="T158" s="179">
        <f t="shared" si="253"/>
        <v>29836.100000000002</v>
      </c>
      <c r="U158" s="180"/>
    </row>
    <row r="159" spans="1:21" ht="124.5" hidden="1" customHeight="1" outlineLevel="1" x14ac:dyDescent="0.2">
      <c r="A159" s="81"/>
      <c r="B159" s="181" t="s">
        <v>172</v>
      </c>
      <c r="C159" s="182" t="s">
        <v>11</v>
      </c>
      <c r="D159" s="182" t="s">
        <v>10</v>
      </c>
      <c r="E159" s="182" t="s">
        <v>8</v>
      </c>
      <c r="F159" s="183">
        <v>1000</v>
      </c>
      <c r="G159" s="183">
        <f>2350+494.3</f>
        <v>2844.3</v>
      </c>
      <c r="H159" s="183">
        <f>SUM(F159:G159)</f>
        <v>3844.3</v>
      </c>
      <c r="I159" s="184" t="s">
        <v>194</v>
      </c>
      <c r="J159" s="183"/>
      <c r="K159" s="183">
        <f t="shared" ref="K159:K160" si="254">SUM(H159,J159)</f>
        <v>3844.3</v>
      </c>
      <c r="L159" s="184"/>
      <c r="M159" s="183">
        <f>-64.2+1500+193-494.3+176.1-659.3</f>
        <v>651.29999999999995</v>
      </c>
      <c r="N159" s="183">
        <f t="shared" ref="N159:N160" si="255">SUM(K159,M159)</f>
        <v>4495.6000000000004</v>
      </c>
      <c r="O159" s="184" t="s">
        <v>294</v>
      </c>
      <c r="P159" s="183">
        <f>270-5.7</f>
        <v>264.3</v>
      </c>
      <c r="Q159" s="183">
        <f t="shared" ref="Q159:Q160" si="256">SUM(N159,P159)</f>
        <v>4759.9000000000005</v>
      </c>
      <c r="R159" s="184" t="s">
        <v>347</v>
      </c>
      <c r="S159" s="183"/>
      <c r="T159" s="185">
        <f t="shared" ref="T159:T160" si="257">SUM(Q159,S159)</f>
        <v>4759.9000000000005</v>
      </c>
      <c r="U159" s="186"/>
    </row>
    <row r="160" spans="1:21" ht="33" hidden="1" customHeight="1" outlineLevel="1" x14ac:dyDescent="0.2">
      <c r="A160" s="81"/>
      <c r="B160" s="181" t="s">
        <v>274</v>
      </c>
      <c r="C160" s="182" t="s">
        <v>11</v>
      </c>
      <c r="D160" s="182" t="s">
        <v>10</v>
      </c>
      <c r="E160" s="182" t="s">
        <v>9</v>
      </c>
      <c r="F160" s="183">
        <v>7470</v>
      </c>
      <c r="G160" s="183">
        <f>3356.9-1098.9</f>
        <v>2258</v>
      </c>
      <c r="H160" s="183">
        <f>SUM(F160:G160)</f>
        <v>9728</v>
      </c>
      <c r="I160" s="184" t="s">
        <v>192</v>
      </c>
      <c r="J160" s="183">
        <v>398.5</v>
      </c>
      <c r="K160" s="183">
        <f t="shared" si="254"/>
        <v>10126.5</v>
      </c>
      <c r="L160" s="184" t="s">
        <v>213</v>
      </c>
      <c r="M160" s="183">
        <f>221.9+141.9+3357+5250.6+1583.2+3735.9+659.3-0.1</f>
        <v>14949.7</v>
      </c>
      <c r="N160" s="183">
        <f t="shared" si="255"/>
        <v>25076.2</v>
      </c>
      <c r="O160" s="184" t="s">
        <v>313</v>
      </c>
      <c r="P160" s="183"/>
      <c r="Q160" s="183">
        <f t="shared" si="256"/>
        <v>25076.2</v>
      </c>
      <c r="R160" s="184"/>
      <c r="S160" s="183"/>
      <c r="T160" s="185">
        <f t="shared" si="257"/>
        <v>25076.2</v>
      </c>
      <c r="U160" s="186"/>
    </row>
    <row r="161" spans="1:21" s="77" customFormat="1" ht="28.5" customHeight="1" collapsed="1" x14ac:dyDescent="0.25">
      <c r="A161" s="75"/>
      <c r="B161" s="169" t="s">
        <v>173</v>
      </c>
      <c r="C161" s="170" t="s">
        <v>2</v>
      </c>
      <c r="D161" s="170" t="s">
        <v>3</v>
      </c>
      <c r="E161" s="170" t="s">
        <v>3</v>
      </c>
      <c r="F161" s="171">
        <f>SUM(F162:F167)</f>
        <v>95189.7</v>
      </c>
      <c r="G161" s="171">
        <f t="shared" ref="G161:H161" si="258">SUM(G162:G167)</f>
        <v>0</v>
      </c>
      <c r="H161" s="171">
        <f t="shared" si="258"/>
        <v>95189.7</v>
      </c>
      <c r="I161" s="171"/>
      <c r="J161" s="171">
        <f t="shared" ref="J161:K161" si="259">SUM(J162:J167)</f>
        <v>2513</v>
      </c>
      <c r="K161" s="171">
        <f t="shared" si="259"/>
        <v>97702.7</v>
      </c>
      <c r="L161" s="172"/>
      <c r="M161" s="171">
        <f>SUM(M162:M167)</f>
        <v>2.8000000000000682</v>
      </c>
      <c r="N161" s="171">
        <f t="shared" ref="N161" si="260">SUM(N162:N167)</f>
        <v>97705.5</v>
      </c>
      <c r="O161" s="172"/>
      <c r="P161" s="171">
        <f>SUM(P162:P167)</f>
        <v>16178.300000000001</v>
      </c>
      <c r="Q161" s="171">
        <f t="shared" ref="Q161" si="261">SUM(Q162:Q167)</f>
        <v>113883.8</v>
      </c>
      <c r="R161" s="172"/>
      <c r="S161" s="171">
        <f>SUM(S162:S167)</f>
        <v>2343.2999999999993</v>
      </c>
      <c r="T161" s="173">
        <f t="shared" ref="T161" si="262">SUM(T162:T167)</f>
        <v>116227.1</v>
      </c>
      <c r="U161" s="174"/>
    </row>
    <row r="162" spans="1:21" ht="36.75" customHeight="1" x14ac:dyDescent="0.2">
      <c r="A162" s="81"/>
      <c r="B162" s="181" t="s">
        <v>174</v>
      </c>
      <c r="C162" s="182" t="s">
        <v>2</v>
      </c>
      <c r="D162" s="182" t="s">
        <v>1</v>
      </c>
      <c r="E162" s="182" t="s">
        <v>8</v>
      </c>
      <c r="F162" s="183">
        <v>20348.099999999999</v>
      </c>
      <c r="G162" s="183"/>
      <c r="H162" s="183">
        <f>SUM(F162:G162)</f>
        <v>20348.099999999999</v>
      </c>
      <c r="I162" s="183"/>
      <c r="J162" s="183">
        <v>-60</v>
      </c>
      <c r="K162" s="183">
        <f t="shared" ref="K162:K167" si="263">SUM(H162,J162)</f>
        <v>20288.099999999999</v>
      </c>
      <c r="L162" s="184" t="s">
        <v>234</v>
      </c>
      <c r="M162" s="183"/>
      <c r="N162" s="183">
        <f t="shared" ref="N162:N167" si="264">SUM(K162,M162)</f>
        <v>20288.099999999999</v>
      </c>
      <c r="O162" s="184"/>
      <c r="P162" s="183">
        <f>-2.5+283.7</f>
        <v>281.2</v>
      </c>
      <c r="Q162" s="183">
        <f t="shared" ref="Q162:Q167" si="265">SUM(N162,P162)</f>
        <v>20569.3</v>
      </c>
      <c r="R162" s="184" t="s">
        <v>416</v>
      </c>
      <c r="S162" s="183">
        <v>127</v>
      </c>
      <c r="T162" s="185">
        <f t="shared" ref="T162:T167" si="266">SUM(Q162,S162)</f>
        <v>20696.3</v>
      </c>
      <c r="U162" s="186" t="s">
        <v>439</v>
      </c>
    </row>
    <row r="163" spans="1:21" ht="42" customHeight="1" x14ac:dyDescent="0.2">
      <c r="A163" s="81"/>
      <c r="B163" s="181" t="s">
        <v>175</v>
      </c>
      <c r="C163" s="182" t="s">
        <v>2</v>
      </c>
      <c r="D163" s="182" t="s">
        <v>1</v>
      </c>
      <c r="E163" s="182" t="s">
        <v>7</v>
      </c>
      <c r="F163" s="183">
        <v>12159</v>
      </c>
      <c r="G163" s="183"/>
      <c r="H163" s="183">
        <f t="shared" ref="H163:H167" si="267">SUM(F163:G163)</f>
        <v>12159</v>
      </c>
      <c r="I163" s="183"/>
      <c r="J163" s="183"/>
      <c r="K163" s="183">
        <f t="shared" si="263"/>
        <v>12159</v>
      </c>
      <c r="L163" s="184"/>
      <c r="M163" s="183"/>
      <c r="N163" s="183">
        <f t="shared" si="264"/>
        <v>12159</v>
      </c>
      <c r="O163" s="184"/>
      <c r="P163" s="183">
        <f>273+8.9</f>
        <v>281.89999999999998</v>
      </c>
      <c r="Q163" s="183">
        <f t="shared" si="265"/>
        <v>12440.9</v>
      </c>
      <c r="R163" s="184" t="s">
        <v>408</v>
      </c>
      <c r="S163" s="183">
        <v>9.9</v>
      </c>
      <c r="T163" s="185">
        <f t="shared" si="266"/>
        <v>12450.8</v>
      </c>
      <c r="U163" s="186" t="s">
        <v>438</v>
      </c>
    </row>
    <row r="164" spans="1:21" ht="31.5" customHeight="1" x14ac:dyDescent="0.2">
      <c r="A164" s="81"/>
      <c r="B164" s="181" t="s">
        <v>176</v>
      </c>
      <c r="C164" s="182" t="s">
        <v>2</v>
      </c>
      <c r="D164" s="182" t="s">
        <v>1</v>
      </c>
      <c r="E164" s="182" t="s">
        <v>6</v>
      </c>
      <c r="F164" s="183">
        <v>2000</v>
      </c>
      <c r="G164" s="183">
        <v>-14.5</v>
      </c>
      <c r="H164" s="183">
        <f t="shared" si="267"/>
        <v>1985.5</v>
      </c>
      <c r="I164" s="184" t="s">
        <v>184</v>
      </c>
      <c r="J164" s="183"/>
      <c r="K164" s="183">
        <f t="shared" si="263"/>
        <v>1985.5</v>
      </c>
      <c r="L164" s="184"/>
      <c r="M164" s="183">
        <f>-64.8-500</f>
        <v>-564.79999999999995</v>
      </c>
      <c r="N164" s="183">
        <f t="shared" si="264"/>
        <v>1420.7</v>
      </c>
      <c r="O164" s="184" t="s">
        <v>326</v>
      </c>
      <c r="P164" s="183">
        <f>-59.2-122.7-270</f>
        <v>-451.9</v>
      </c>
      <c r="Q164" s="183">
        <f t="shared" si="265"/>
        <v>968.80000000000007</v>
      </c>
      <c r="R164" s="184" t="s">
        <v>362</v>
      </c>
      <c r="S164" s="183">
        <f>-93.2-800</f>
        <v>-893.2</v>
      </c>
      <c r="T164" s="185">
        <f t="shared" si="266"/>
        <v>75.600000000000023</v>
      </c>
      <c r="U164" s="186" t="s">
        <v>478</v>
      </c>
    </row>
    <row r="165" spans="1:21" ht="42.75" customHeight="1" x14ac:dyDescent="0.2">
      <c r="A165" s="81"/>
      <c r="B165" s="181" t="s">
        <v>177</v>
      </c>
      <c r="C165" s="182" t="s">
        <v>2</v>
      </c>
      <c r="D165" s="182" t="s">
        <v>1</v>
      </c>
      <c r="E165" s="182" t="s">
        <v>5</v>
      </c>
      <c r="F165" s="183">
        <v>8180</v>
      </c>
      <c r="G165" s="183">
        <v>14.5</v>
      </c>
      <c r="H165" s="183">
        <f t="shared" si="267"/>
        <v>8194.5</v>
      </c>
      <c r="I165" s="184" t="s">
        <v>195</v>
      </c>
      <c r="J165" s="183">
        <f>919.1+780.9</f>
        <v>1700</v>
      </c>
      <c r="K165" s="183">
        <f t="shared" si="263"/>
        <v>9894.5</v>
      </c>
      <c r="L165" s="184" t="s">
        <v>230</v>
      </c>
      <c r="M165" s="183">
        <f>64.8+2.8+500</f>
        <v>567.6</v>
      </c>
      <c r="N165" s="183">
        <f t="shared" si="264"/>
        <v>10462.1</v>
      </c>
      <c r="O165" s="184" t="s">
        <v>327</v>
      </c>
      <c r="P165" s="183">
        <f>91.5+2065.4+59.2+122.7+2.5+270+1000+445</f>
        <v>4056.2999999999997</v>
      </c>
      <c r="Q165" s="183">
        <f t="shared" si="265"/>
        <v>14518.4</v>
      </c>
      <c r="R165" s="184" t="s">
        <v>413</v>
      </c>
      <c r="S165" s="183">
        <f>93.1+1500.1+325</f>
        <v>1918.1999999999998</v>
      </c>
      <c r="T165" s="185">
        <f t="shared" si="266"/>
        <v>16436.599999999999</v>
      </c>
      <c r="U165" s="186" t="s">
        <v>490</v>
      </c>
    </row>
    <row r="166" spans="1:21" ht="121.5" customHeight="1" x14ac:dyDescent="0.2">
      <c r="A166" s="81"/>
      <c r="B166" s="181" t="s">
        <v>161</v>
      </c>
      <c r="C166" s="182" t="s">
        <v>2</v>
      </c>
      <c r="D166" s="182" t="s">
        <v>1</v>
      </c>
      <c r="E166" s="182" t="s">
        <v>280</v>
      </c>
      <c r="F166" s="183">
        <v>52502.6</v>
      </c>
      <c r="G166" s="183"/>
      <c r="H166" s="183">
        <f t="shared" si="267"/>
        <v>52502.6</v>
      </c>
      <c r="I166" s="183"/>
      <c r="J166" s="183">
        <f>8.6+164.4+700</f>
        <v>873</v>
      </c>
      <c r="K166" s="183">
        <f t="shared" si="263"/>
        <v>53375.6</v>
      </c>
      <c r="L166" s="184" t="s">
        <v>235</v>
      </c>
      <c r="M166" s="183"/>
      <c r="N166" s="183">
        <f t="shared" si="264"/>
        <v>53375.6</v>
      </c>
      <c r="O166" s="184"/>
      <c r="P166" s="183">
        <f>-604.4+12788.2-173</f>
        <v>12010.800000000001</v>
      </c>
      <c r="Q166" s="183">
        <f t="shared" si="265"/>
        <v>65386.400000000001</v>
      </c>
      <c r="R166" s="196" t="s">
        <v>380</v>
      </c>
      <c r="S166" s="183">
        <f>-155.9+1337.3</f>
        <v>1181.3999999999999</v>
      </c>
      <c r="T166" s="185">
        <f t="shared" si="266"/>
        <v>66567.8</v>
      </c>
      <c r="U166" s="196" t="s">
        <v>498</v>
      </c>
    </row>
    <row r="167" spans="1:21" ht="33" customHeight="1" x14ac:dyDescent="0.2">
      <c r="A167" s="81"/>
      <c r="B167" s="181" t="s">
        <v>178</v>
      </c>
      <c r="C167" s="182" t="s">
        <v>2</v>
      </c>
      <c r="D167" s="182" t="s">
        <v>1</v>
      </c>
      <c r="E167" s="182" t="s">
        <v>0</v>
      </c>
      <c r="F167" s="183">
        <v>0</v>
      </c>
      <c r="G167" s="183"/>
      <c r="H167" s="183">
        <f t="shared" si="267"/>
        <v>0</v>
      </c>
      <c r="I167" s="183"/>
      <c r="J167" s="183"/>
      <c r="K167" s="183">
        <f t="shared" si="263"/>
        <v>0</v>
      </c>
      <c r="L167" s="184"/>
      <c r="M167" s="183"/>
      <c r="N167" s="183">
        <f t="shared" si="264"/>
        <v>0</v>
      </c>
      <c r="O167" s="184"/>
      <c r="P167" s="183"/>
      <c r="Q167" s="183">
        <f t="shared" si="265"/>
        <v>0</v>
      </c>
      <c r="R167" s="184"/>
      <c r="S167" s="183"/>
      <c r="T167" s="185">
        <f t="shared" si="266"/>
        <v>0</v>
      </c>
      <c r="U167" s="186"/>
    </row>
    <row r="168" spans="1:21" ht="35.25" customHeight="1" x14ac:dyDescent="0.25">
      <c r="A168" s="3"/>
      <c r="B168" s="223"/>
      <c r="C168" s="224" t="s">
        <v>2</v>
      </c>
      <c r="D168" s="224" t="s">
        <v>1</v>
      </c>
      <c r="E168" s="224" t="s">
        <v>0</v>
      </c>
      <c r="F168" s="225">
        <f>SUM(F7,F15,F20,F27,F30,F35,F46,F48,F51,F61,F65,F78,F82,F90,F105,F107,F110,F118,F123,F141,F143,F154,F161)</f>
        <v>4064347.2</v>
      </c>
      <c r="G168" s="225">
        <f>SUM(G7,G15,G20,G27,G30,G35,G46,G48,G51,G61,G65,G78,G82,G90,G105,G107,G110,G118,G123,G141,G143,G154,G161)</f>
        <v>151368.79999999999</v>
      </c>
      <c r="H168" s="225">
        <f>SUM(H7,H15,H20,H27,H30,H35,H46,H48,H51,H61,H65,H78,H82,H90,H105,H107,H110,H118,H123,H141,H143,H154,H161)</f>
        <v>4585506.9000000004</v>
      </c>
      <c r="I168" s="225"/>
      <c r="J168" s="225">
        <f>SUM(J7,J15,J20,J27,J30,J35,J46,J48,J51,J61,J65,J78,J82,J90,J105,J107,J110,J118,J123,J141,J143,J154,J161)</f>
        <v>1108529.5</v>
      </c>
      <c r="K168" s="225">
        <f>SUM(K7,K15,K20,K27,K30,K35,K46,K48,K51,K61,K65,K78,K82,K90,K105,K107,K110,K118,K123,K141,K143,K154,K161)</f>
        <v>5302616.7000000011</v>
      </c>
      <c r="L168" s="225">
        <f>SUM(L7,L15,L20,L27,L30,L35,L46,L48,L51,L61,L65,L78,L82,L90,L105,L107,L110,L118,L123,L141,L143,L154,L161)</f>
        <v>0</v>
      </c>
      <c r="M168" s="226">
        <f>SUM(M7,M15,M20,M27,M30,M35,M46,M48,M51,M61,M65,M78,M82,M90,M105,M107,M110,M118,M123,M141,M143,M154,M161)+0.1</f>
        <v>51839.079999999994</v>
      </c>
      <c r="N168" s="225">
        <f>SUM(N7,N15,N20,N27,N30,N35,N46,N48,N51,N61,N65,N78,N82,N90,N105,N107,N110,N118,N123,N141,N143,N154,N161)+0.1</f>
        <v>5354455.79</v>
      </c>
      <c r="O168" s="227"/>
      <c r="P168" s="226">
        <f>SUM(Q168-N168)</f>
        <v>297454.51999999862</v>
      </c>
      <c r="Q168" s="225">
        <f>SUM(Q7,Q15,Q20,Q27,Q30,Q35,Q46,Q48,Q51,Q61,Q65,Q78,Q82,Q90,Q105,Q107,Q110,Q118,Q123,Q141,Q143,Q154,Q161)+0.1</f>
        <v>5651910.3099999987</v>
      </c>
      <c r="R168" s="227"/>
      <c r="S168" s="226">
        <f>SUM(T168-Q168)</f>
        <v>103410.69999999925</v>
      </c>
      <c r="T168" s="225">
        <f>SUM(T7,T15,T20,T27,T30,T35,T46,T48,T51,T61,T65,T78,T82,T90,T105,T107,T110,T118,T123,T141,T143,T154,T161)+0.1</f>
        <v>5755321.0099999979</v>
      </c>
      <c r="U168" s="186"/>
    </row>
    <row r="169" spans="1:21" ht="12.75" customHeight="1" x14ac:dyDescent="0.2">
      <c r="A169" s="2"/>
      <c r="B169" s="87"/>
      <c r="C169" s="87"/>
      <c r="D169" s="87"/>
      <c r="E169" s="87"/>
      <c r="F169" s="81"/>
      <c r="G169" s="81"/>
      <c r="H169" s="81"/>
      <c r="I169" s="81"/>
      <c r="J169" s="81"/>
      <c r="K169" s="81"/>
      <c r="L169" s="88"/>
      <c r="M169" s="81"/>
      <c r="N169" s="81"/>
      <c r="O169" s="88"/>
      <c r="P169" s="81"/>
      <c r="Q169" s="81"/>
      <c r="R169" s="88"/>
    </row>
    <row r="170" spans="1:21" x14ac:dyDescent="0.2">
      <c r="P170" s="122"/>
    </row>
  </sheetData>
  <mergeCells count="2">
    <mergeCell ref="B4:U4"/>
    <mergeCell ref="C5:E5"/>
  </mergeCells>
  <pageMargins left="0.39370078740157483" right="0.39370078740157483" top="0.98425196850393704" bottom="0" header="0.51181102362204722" footer="0.51181102362204722"/>
  <pageSetup paperSize="9" scale="48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Бюджет_1</vt:lpstr>
      <vt:lpstr>для Н.А.</vt:lpstr>
      <vt:lpstr>для мамонтова</vt:lpstr>
      <vt:lpstr>Бюджет_1!Заголовки_для_печати</vt:lpstr>
      <vt:lpstr>'для мамонтова'!Заголовки_для_печати</vt:lpstr>
      <vt:lpstr>'для Н.А.'!Заголовки_для_печати</vt:lpstr>
      <vt:lpstr>Бюджет_1!Область_печати</vt:lpstr>
      <vt:lpstr>'для мамонтова'!Область_печати</vt:lpstr>
      <vt:lpstr>'для Н.А.'!Область_печати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Соболь Анастасия Сергеевна</dc:creator>
  <cp:lastModifiedBy>Сяфукова Эльвира Мягзумовна</cp:lastModifiedBy>
  <cp:lastPrinted>2019-12-09T09:26:42Z</cp:lastPrinted>
  <dcterms:created xsi:type="dcterms:W3CDTF">2019-01-21T11:39:11Z</dcterms:created>
  <dcterms:modified xsi:type="dcterms:W3CDTF">2019-12-09T09:26:48Z</dcterms:modified>
</cp:coreProperties>
</file>