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УТОЧНЕНИЕ БЮДЖЕТА\2024\УТОЧНЕНИЕ БЮДЖЕТА\4. декабрь\Пояснительная записка\"/>
    </mc:Choice>
  </mc:AlternateContent>
  <bookViews>
    <workbookView xWindow="0" yWindow="0" windowWidth="21570" windowHeight="10215"/>
  </bookViews>
  <sheets>
    <sheet name="Бюджет_3" sheetId="1" r:id="rId1"/>
  </sheets>
  <definedNames>
    <definedName name="_xlnm.Print_Titles" localSheetId="0">Бюджет_3!$5:$7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9" i="1" l="1"/>
  <c r="T182" i="1" l="1"/>
  <c r="T102" i="1" l="1"/>
  <c r="T93" i="1" l="1"/>
  <c r="T89" i="1"/>
  <c r="T170" i="1" l="1"/>
  <c r="T165" i="1"/>
  <c r="T64" i="1" l="1"/>
  <c r="T63" i="1"/>
  <c r="T62" i="1"/>
  <c r="S54" i="1" l="1"/>
  <c r="T54" i="1"/>
  <c r="T53" i="1" l="1"/>
  <c r="T42" i="1"/>
  <c r="T45" i="1"/>
  <c r="T175" i="1" l="1"/>
  <c r="T177" i="1"/>
  <c r="T99" i="1" l="1"/>
  <c r="T14" i="1"/>
  <c r="T147" i="1" l="1"/>
  <c r="T142" i="1"/>
  <c r="T184" i="1"/>
  <c r="T104" i="1" l="1"/>
  <c r="T146" i="1" l="1"/>
  <c r="S42" i="1" l="1"/>
  <c r="M186" i="1" l="1"/>
  <c r="P186" i="1" s="1"/>
  <c r="R186" i="1" s="1"/>
  <c r="U186" i="1" s="1"/>
  <c r="M185" i="1"/>
  <c r="P185" i="1" s="1"/>
  <c r="R185" i="1" s="1"/>
  <c r="U185" i="1" s="1"/>
  <c r="Q184" i="1"/>
  <c r="O184" i="1"/>
  <c r="M184" i="1"/>
  <c r="P184" i="1" s="1"/>
  <c r="R184" i="1" s="1"/>
  <c r="U184" i="1" s="1"/>
  <c r="L184" i="1"/>
  <c r="M183" i="1"/>
  <c r="P183" i="1" s="1"/>
  <c r="R183" i="1" s="1"/>
  <c r="U183" i="1" s="1"/>
  <c r="Q182" i="1"/>
  <c r="M182" i="1"/>
  <c r="P182" i="1" s="1"/>
  <c r="R182" i="1" s="1"/>
  <c r="Q181" i="1"/>
  <c r="M181" i="1"/>
  <c r="P181" i="1" s="1"/>
  <c r="R181" i="1" s="1"/>
  <c r="U181" i="1" s="1"/>
  <c r="T180" i="1"/>
  <c r="Q180" i="1"/>
  <c r="O180" i="1"/>
  <c r="L180" i="1"/>
  <c r="K180" i="1"/>
  <c r="M179" i="1"/>
  <c r="P179" i="1" s="1"/>
  <c r="R179" i="1" s="1"/>
  <c r="U179" i="1" s="1"/>
  <c r="M178" i="1"/>
  <c r="P178" i="1" s="1"/>
  <c r="R178" i="1" s="1"/>
  <c r="U178" i="1" s="1"/>
  <c r="Q177" i="1"/>
  <c r="M177" i="1"/>
  <c r="P177" i="1" s="1"/>
  <c r="R177" i="1" s="1"/>
  <c r="U177" i="1" s="1"/>
  <c r="M176" i="1"/>
  <c r="Q175" i="1"/>
  <c r="O175" i="1"/>
  <c r="M175" i="1"/>
  <c r="P175" i="1" s="1"/>
  <c r="R175" i="1" s="1"/>
  <c r="L175" i="1"/>
  <c r="T174" i="1"/>
  <c r="Q174" i="1"/>
  <c r="O174" i="1"/>
  <c r="L174" i="1"/>
  <c r="K174" i="1"/>
  <c r="M173" i="1"/>
  <c r="P173" i="1" s="1"/>
  <c r="R173" i="1" s="1"/>
  <c r="U173" i="1" s="1"/>
  <c r="M172" i="1"/>
  <c r="P172" i="1" s="1"/>
  <c r="R172" i="1" s="1"/>
  <c r="U172" i="1" s="1"/>
  <c r="Q171" i="1"/>
  <c r="M171" i="1"/>
  <c r="P171" i="1" s="1"/>
  <c r="R171" i="1" s="1"/>
  <c r="U171" i="1" s="1"/>
  <c r="L171" i="1"/>
  <c r="M170" i="1"/>
  <c r="P170" i="1" s="1"/>
  <c r="R170" i="1" s="1"/>
  <c r="U170" i="1" s="1"/>
  <c r="Q169" i="1"/>
  <c r="O169" i="1"/>
  <c r="M169" i="1"/>
  <c r="P169" i="1" s="1"/>
  <c r="R169" i="1" s="1"/>
  <c r="U169" i="1" s="1"/>
  <c r="M168" i="1"/>
  <c r="P168" i="1" s="1"/>
  <c r="R168" i="1" s="1"/>
  <c r="U168" i="1" s="1"/>
  <c r="M167" i="1"/>
  <c r="P167" i="1" s="1"/>
  <c r="R167" i="1" s="1"/>
  <c r="U167" i="1" s="1"/>
  <c r="M166" i="1"/>
  <c r="P166" i="1" s="1"/>
  <c r="R166" i="1" s="1"/>
  <c r="U166" i="1" s="1"/>
  <c r="Q165" i="1"/>
  <c r="O165" i="1"/>
  <c r="M165" i="1"/>
  <c r="P165" i="1" s="1"/>
  <c r="R165" i="1" s="1"/>
  <c r="U165" i="1" s="1"/>
  <c r="L165" i="1"/>
  <c r="Q164" i="1"/>
  <c r="O164" i="1"/>
  <c r="M164" i="1"/>
  <c r="P164" i="1" s="1"/>
  <c r="R164" i="1" s="1"/>
  <c r="T163" i="1"/>
  <c r="Q163" i="1"/>
  <c r="O163" i="1"/>
  <c r="O162" i="1" s="1"/>
  <c r="L163" i="1"/>
  <c r="L162" i="1" s="1"/>
  <c r="K163" i="1"/>
  <c r="M161" i="1"/>
  <c r="P161" i="1" s="1"/>
  <c r="T160" i="1"/>
  <c r="Q160" i="1"/>
  <c r="O160" i="1"/>
  <c r="L160" i="1"/>
  <c r="K160" i="1"/>
  <c r="Q159" i="1"/>
  <c r="P159" i="1"/>
  <c r="R159" i="1" s="1"/>
  <c r="O159" i="1"/>
  <c r="M159" i="1"/>
  <c r="T158" i="1"/>
  <c r="Q158" i="1"/>
  <c r="O158" i="1"/>
  <c r="M158" i="1"/>
  <c r="L158" i="1"/>
  <c r="K158" i="1"/>
  <c r="M157" i="1"/>
  <c r="P157" i="1" s="1"/>
  <c r="T156" i="1"/>
  <c r="Q156" i="1"/>
  <c r="O156" i="1"/>
  <c r="L156" i="1"/>
  <c r="K156" i="1"/>
  <c r="K155" i="1" s="1"/>
  <c r="M154" i="1"/>
  <c r="P154" i="1" s="1"/>
  <c r="L154" i="1"/>
  <c r="Q153" i="1"/>
  <c r="P153" i="1"/>
  <c r="R153" i="1" s="1"/>
  <c r="O153" i="1"/>
  <c r="M153" i="1"/>
  <c r="T152" i="1"/>
  <c r="Q152" i="1"/>
  <c r="O152" i="1"/>
  <c r="M152" i="1"/>
  <c r="L152" i="1"/>
  <c r="K152" i="1"/>
  <c r="R151" i="1"/>
  <c r="U151" i="1" s="1"/>
  <c r="Q150" i="1"/>
  <c r="O150" i="1"/>
  <c r="M150" i="1"/>
  <c r="P150" i="1" s="1"/>
  <c r="T149" i="1"/>
  <c r="Q149" i="1"/>
  <c r="Q148" i="1" s="1"/>
  <c r="O149" i="1"/>
  <c r="L149" i="1"/>
  <c r="L148" i="1" s="1"/>
  <c r="K149" i="1"/>
  <c r="K148" i="1" s="1"/>
  <c r="T148" i="1"/>
  <c r="Q147" i="1"/>
  <c r="O147" i="1"/>
  <c r="M147" i="1"/>
  <c r="P147" i="1" s="1"/>
  <c r="R147" i="1" s="1"/>
  <c r="U147" i="1" s="1"/>
  <c r="L147" i="1"/>
  <c r="Q146" i="1"/>
  <c r="O146" i="1"/>
  <c r="M146" i="1"/>
  <c r="P146" i="1" s="1"/>
  <c r="R146" i="1" s="1"/>
  <c r="T145" i="1"/>
  <c r="Q145" i="1"/>
  <c r="O145" i="1"/>
  <c r="M145" i="1"/>
  <c r="L145" i="1"/>
  <c r="K145" i="1"/>
  <c r="M144" i="1"/>
  <c r="P144" i="1" s="1"/>
  <c r="R144" i="1" s="1"/>
  <c r="U144" i="1" s="1"/>
  <c r="M143" i="1"/>
  <c r="P143" i="1" s="1"/>
  <c r="R143" i="1" s="1"/>
  <c r="U143" i="1" s="1"/>
  <c r="Q142" i="1"/>
  <c r="O142" i="1"/>
  <c r="M142" i="1"/>
  <c r="P142" i="1" s="1"/>
  <c r="L142" i="1"/>
  <c r="T141" i="1"/>
  <c r="Q141" i="1"/>
  <c r="O141" i="1"/>
  <c r="L141" i="1"/>
  <c r="L140" i="1" s="1"/>
  <c r="K141" i="1"/>
  <c r="Q139" i="1"/>
  <c r="M139" i="1"/>
  <c r="P139" i="1" s="1"/>
  <c r="R139" i="1" s="1"/>
  <c r="L139" i="1"/>
  <c r="T138" i="1"/>
  <c r="T137" i="1" s="1"/>
  <c r="Q138" i="1"/>
  <c r="O138" i="1"/>
  <c r="O137" i="1" s="1"/>
  <c r="L138" i="1"/>
  <c r="L137" i="1" s="1"/>
  <c r="K138" i="1"/>
  <c r="K137" i="1" s="1"/>
  <c r="Q137" i="1"/>
  <c r="Q136" i="1"/>
  <c r="M136" i="1"/>
  <c r="P136" i="1" s="1"/>
  <c r="R136" i="1" s="1"/>
  <c r="U136" i="1" s="1"/>
  <c r="M135" i="1"/>
  <c r="P135" i="1" s="1"/>
  <c r="T134" i="1"/>
  <c r="Q134" i="1"/>
  <c r="O134" i="1"/>
  <c r="L134" i="1"/>
  <c r="K134" i="1"/>
  <c r="M133" i="1"/>
  <c r="P133" i="1" s="1"/>
  <c r="R133" i="1" s="1"/>
  <c r="U133" i="1" s="1"/>
  <c r="M132" i="1"/>
  <c r="P132" i="1" s="1"/>
  <c r="T131" i="1"/>
  <c r="Q131" i="1"/>
  <c r="O131" i="1"/>
  <c r="M131" i="1"/>
  <c r="L131" i="1"/>
  <c r="K131" i="1"/>
  <c r="R130" i="1"/>
  <c r="U130" i="1" s="1"/>
  <c r="P130" i="1"/>
  <c r="M130" i="1"/>
  <c r="R129" i="1"/>
  <c r="U129" i="1" s="1"/>
  <c r="P129" i="1"/>
  <c r="M129" i="1"/>
  <c r="R128" i="1"/>
  <c r="U128" i="1" s="1"/>
  <c r="P128" i="1"/>
  <c r="O128" i="1"/>
  <c r="M128" i="1"/>
  <c r="M127" i="1"/>
  <c r="P127" i="1" s="1"/>
  <c r="R127" i="1" s="1"/>
  <c r="U127" i="1" s="1"/>
  <c r="M126" i="1"/>
  <c r="P126" i="1" s="1"/>
  <c r="T125" i="1"/>
  <c r="Q125" i="1"/>
  <c r="O125" i="1"/>
  <c r="O124" i="1" s="1"/>
  <c r="L125" i="1"/>
  <c r="K125" i="1"/>
  <c r="Q124" i="1"/>
  <c r="L124" i="1"/>
  <c r="M123" i="1"/>
  <c r="P123" i="1" s="1"/>
  <c r="T122" i="1"/>
  <c r="Q122" i="1"/>
  <c r="O122" i="1"/>
  <c r="O114" i="1" s="1"/>
  <c r="L122" i="1"/>
  <c r="K122" i="1"/>
  <c r="U121" i="1"/>
  <c r="R121" i="1"/>
  <c r="P121" i="1"/>
  <c r="M121" i="1"/>
  <c r="U120" i="1"/>
  <c r="R120" i="1"/>
  <c r="P120" i="1"/>
  <c r="M120" i="1"/>
  <c r="U119" i="1"/>
  <c r="U118" i="1" s="1"/>
  <c r="R119" i="1"/>
  <c r="R118" i="1" s="1"/>
  <c r="P119" i="1"/>
  <c r="M119" i="1"/>
  <c r="T118" i="1"/>
  <c r="T114" i="1" s="1"/>
  <c r="Q118" i="1"/>
  <c r="P118" i="1"/>
  <c r="O118" i="1"/>
  <c r="M118" i="1"/>
  <c r="L118" i="1"/>
  <c r="K118" i="1"/>
  <c r="P117" i="1"/>
  <c r="R117" i="1" s="1"/>
  <c r="U117" i="1" s="1"/>
  <c r="M117" i="1"/>
  <c r="P116" i="1"/>
  <c r="P115" i="1" s="1"/>
  <c r="M116" i="1"/>
  <c r="T115" i="1"/>
  <c r="Q115" i="1"/>
  <c r="O115" i="1"/>
  <c r="M115" i="1"/>
  <c r="L115" i="1"/>
  <c r="L114" i="1" s="1"/>
  <c r="K115" i="1"/>
  <c r="P113" i="1"/>
  <c r="R113" i="1" s="1"/>
  <c r="U113" i="1" s="1"/>
  <c r="M113" i="1"/>
  <c r="P112" i="1"/>
  <c r="R112" i="1" s="1"/>
  <c r="O112" i="1"/>
  <c r="M112" i="1"/>
  <c r="M111" i="1" s="1"/>
  <c r="L112" i="1"/>
  <c r="T111" i="1"/>
  <c r="Q111" i="1"/>
  <c r="O111" i="1"/>
  <c r="L111" i="1"/>
  <c r="K111" i="1"/>
  <c r="M110" i="1"/>
  <c r="P110" i="1" s="1"/>
  <c r="T109" i="1"/>
  <c r="Q109" i="1"/>
  <c r="O109" i="1"/>
  <c r="L109" i="1"/>
  <c r="K109" i="1"/>
  <c r="M108" i="1"/>
  <c r="P108" i="1" s="1"/>
  <c r="T107" i="1"/>
  <c r="Q107" i="1"/>
  <c r="O107" i="1"/>
  <c r="L107" i="1"/>
  <c r="K107" i="1"/>
  <c r="Q106" i="1"/>
  <c r="M106" i="1"/>
  <c r="M105" i="1" s="1"/>
  <c r="T105" i="1"/>
  <c r="Q105" i="1"/>
  <c r="O105" i="1"/>
  <c r="L105" i="1"/>
  <c r="K105" i="1"/>
  <c r="M104" i="1"/>
  <c r="P104" i="1" s="1"/>
  <c r="R104" i="1" s="1"/>
  <c r="U104" i="1" s="1"/>
  <c r="M103" i="1"/>
  <c r="P103" i="1" s="1"/>
  <c r="R103" i="1" s="1"/>
  <c r="U103" i="1" s="1"/>
  <c r="O102" i="1"/>
  <c r="M102" i="1"/>
  <c r="P102" i="1" s="1"/>
  <c r="T101" i="1"/>
  <c r="Q101" i="1"/>
  <c r="O101" i="1"/>
  <c r="L101" i="1"/>
  <c r="K101" i="1"/>
  <c r="Q100" i="1"/>
  <c r="M100" i="1"/>
  <c r="P100" i="1" s="1"/>
  <c r="R100" i="1" s="1"/>
  <c r="U100" i="1" s="1"/>
  <c r="Q99" i="1"/>
  <c r="O99" i="1"/>
  <c r="M99" i="1"/>
  <c r="P99" i="1" s="1"/>
  <c r="R99" i="1" s="1"/>
  <c r="U99" i="1" s="1"/>
  <c r="L99" i="1"/>
  <c r="M98" i="1"/>
  <c r="T97" i="1"/>
  <c r="Q97" i="1"/>
  <c r="O97" i="1"/>
  <c r="L97" i="1"/>
  <c r="K97" i="1"/>
  <c r="P95" i="1"/>
  <c r="R95" i="1" s="1"/>
  <c r="O95" i="1"/>
  <c r="M95" i="1"/>
  <c r="L95" i="1"/>
  <c r="T94" i="1"/>
  <c r="Q94" i="1"/>
  <c r="P94" i="1"/>
  <c r="O94" i="1"/>
  <c r="M94" i="1"/>
  <c r="L94" i="1"/>
  <c r="K94" i="1"/>
  <c r="Q93" i="1"/>
  <c r="O93" i="1"/>
  <c r="M93" i="1"/>
  <c r="P93" i="1" s="1"/>
  <c r="R93" i="1" s="1"/>
  <c r="L93" i="1"/>
  <c r="T92" i="1"/>
  <c r="Q92" i="1"/>
  <c r="O92" i="1"/>
  <c r="M92" i="1"/>
  <c r="L92" i="1"/>
  <c r="K92" i="1"/>
  <c r="O91" i="1"/>
  <c r="M91" i="1"/>
  <c r="P91" i="1" s="1"/>
  <c r="R91" i="1" s="1"/>
  <c r="U91" i="1" s="1"/>
  <c r="M90" i="1"/>
  <c r="P90" i="1" s="1"/>
  <c r="R90" i="1" s="1"/>
  <c r="U90" i="1" s="1"/>
  <c r="Q89" i="1"/>
  <c r="O89" i="1"/>
  <c r="M89" i="1"/>
  <c r="M88" i="1" s="1"/>
  <c r="L89" i="1"/>
  <c r="T88" i="1"/>
  <c r="Q88" i="1"/>
  <c r="Q87" i="1" s="1"/>
  <c r="O88" i="1"/>
  <c r="L88" i="1"/>
  <c r="L87" i="1" s="1"/>
  <c r="K88" i="1"/>
  <c r="T86" i="1"/>
  <c r="Q86" i="1"/>
  <c r="P86" i="1"/>
  <c r="R86" i="1" s="1"/>
  <c r="U86" i="1" s="1"/>
  <c r="M86" i="1"/>
  <c r="Q85" i="1"/>
  <c r="M85" i="1"/>
  <c r="P85" i="1" s="1"/>
  <c r="R85" i="1" s="1"/>
  <c r="U85" i="1" s="1"/>
  <c r="Q84" i="1"/>
  <c r="O84" i="1"/>
  <c r="M84" i="1"/>
  <c r="P84" i="1" s="1"/>
  <c r="T83" i="1"/>
  <c r="Q83" i="1"/>
  <c r="O83" i="1"/>
  <c r="L83" i="1"/>
  <c r="K83" i="1"/>
  <c r="M82" i="1"/>
  <c r="P82" i="1" s="1"/>
  <c r="R82" i="1" s="1"/>
  <c r="U82" i="1" s="1"/>
  <c r="L82" i="1"/>
  <c r="Q81" i="1"/>
  <c r="O81" i="1"/>
  <c r="M81" i="1"/>
  <c r="P81" i="1" s="1"/>
  <c r="T80" i="1"/>
  <c r="Q80" i="1"/>
  <c r="O80" i="1"/>
  <c r="L80" i="1"/>
  <c r="L73" i="1" s="1"/>
  <c r="K80" i="1"/>
  <c r="K73" i="1" s="1"/>
  <c r="R79" i="1"/>
  <c r="U79" i="1" s="1"/>
  <c r="Q79" i="1"/>
  <c r="M78" i="1"/>
  <c r="P78" i="1" s="1"/>
  <c r="R78" i="1" s="1"/>
  <c r="U78" i="1" s="1"/>
  <c r="M77" i="1"/>
  <c r="P77" i="1" s="1"/>
  <c r="T76" i="1"/>
  <c r="S76" i="1"/>
  <c r="Q76" i="1"/>
  <c r="O76" i="1"/>
  <c r="L76" i="1"/>
  <c r="K76" i="1"/>
  <c r="P75" i="1"/>
  <c r="P74" i="1" s="1"/>
  <c r="M75" i="1"/>
  <c r="L75" i="1"/>
  <c r="T74" i="1"/>
  <c r="Q74" i="1"/>
  <c r="O74" i="1"/>
  <c r="M74" i="1"/>
  <c r="L74" i="1"/>
  <c r="K74" i="1"/>
  <c r="Q73" i="1"/>
  <c r="M72" i="1"/>
  <c r="P72" i="1" s="1"/>
  <c r="R72" i="1" s="1"/>
  <c r="U72" i="1" s="1"/>
  <c r="T71" i="1"/>
  <c r="Q71" i="1"/>
  <c r="P71" i="1"/>
  <c r="R71" i="1" s="1"/>
  <c r="O71" i="1"/>
  <c r="M71" i="1"/>
  <c r="L71" i="1"/>
  <c r="T70" i="1"/>
  <c r="Q70" i="1"/>
  <c r="O70" i="1"/>
  <c r="M70" i="1"/>
  <c r="L70" i="1"/>
  <c r="K70" i="1"/>
  <c r="P69" i="1"/>
  <c r="R69" i="1" s="1"/>
  <c r="U69" i="1" s="1"/>
  <c r="M69" i="1"/>
  <c r="P68" i="1"/>
  <c r="R68" i="1" s="1"/>
  <c r="U68" i="1" s="1"/>
  <c r="M68" i="1"/>
  <c r="P67" i="1"/>
  <c r="R67" i="1" s="1"/>
  <c r="U67" i="1" s="1"/>
  <c r="M67" i="1"/>
  <c r="L67" i="1"/>
  <c r="M66" i="1"/>
  <c r="P66" i="1" s="1"/>
  <c r="T65" i="1"/>
  <c r="S65" i="1"/>
  <c r="Q65" i="1"/>
  <c r="O65" i="1"/>
  <c r="M65" i="1"/>
  <c r="L65" i="1"/>
  <c r="K65" i="1"/>
  <c r="P64" i="1"/>
  <c r="R64" i="1" s="1"/>
  <c r="U64" i="1" s="1"/>
  <c r="M64" i="1"/>
  <c r="Q63" i="1"/>
  <c r="P63" i="1"/>
  <c r="R63" i="1" s="1"/>
  <c r="U63" i="1" s="1"/>
  <c r="O63" i="1"/>
  <c r="M63" i="1"/>
  <c r="Q62" i="1"/>
  <c r="O62" i="1"/>
  <c r="M62" i="1"/>
  <c r="P62" i="1" s="1"/>
  <c r="R62" i="1" s="1"/>
  <c r="U62" i="1" s="1"/>
  <c r="L62" i="1"/>
  <c r="R61" i="1"/>
  <c r="U61" i="1" s="1"/>
  <c r="P61" i="1"/>
  <c r="M61" i="1"/>
  <c r="R60" i="1"/>
  <c r="U60" i="1" s="1"/>
  <c r="P60" i="1"/>
  <c r="M60" i="1"/>
  <c r="T59" i="1"/>
  <c r="Q59" i="1"/>
  <c r="Q58" i="1" s="1"/>
  <c r="O59" i="1"/>
  <c r="M59" i="1"/>
  <c r="M58" i="1" s="1"/>
  <c r="L59" i="1"/>
  <c r="L58" i="1" s="1"/>
  <c r="K59" i="1"/>
  <c r="O58" i="1"/>
  <c r="K58" i="1"/>
  <c r="Q57" i="1"/>
  <c r="P57" i="1"/>
  <c r="R57" i="1" s="1"/>
  <c r="O57" i="1"/>
  <c r="M57" i="1"/>
  <c r="T56" i="1"/>
  <c r="Q56" i="1"/>
  <c r="O56" i="1"/>
  <c r="M56" i="1"/>
  <c r="L56" i="1"/>
  <c r="K56" i="1"/>
  <c r="M55" i="1"/>
  <c r="M54" i="1" s="1"/>
  <c r="Q54" i="1"/>
  <c r="O54" i="1"/>
  <c r="L54" i="1"/>
  <c r="K54" i="1"/>
  <c r="Q53" i="1"/>
  <c r="O53" i="1"/>
  <c r="M53" i="1"/>
  <c r="P53" i="1" s="1"/>
  <c r="L53" i="1"/>
  <c r="T52" i="1"/>
  <c r="Q52" i="1"/>
  <c r="O52" i="1"/>
  <c r="L52" i="1"/>
  <c r="K52" i="1"/>
  <c r="M51" i="1"/>
  <c r="P51" i="1" s="1"/>
  <c r="R51" i="1" s="1"/>
  <c r="U51" i="1" s="1"/>
  <c r="L51" i="1"/>
  <c r="M50" i="1"/>
  <c r="P50" i="1" s="1"/>
  <c r="R50" i="1" s="1"/>
  <c r="U50" i="1" s="1"/>
  <c r="M49" i="1"/>
  <c r="M48" i="1" s="1"/>
  <c r="T48" i="1"/>
  <c r="T41" i="1" s="1"/>
  <c r="Q48" i="1"/>
  <c r="O48" i="1"/>
  <c r="L48" i="1"/>
  <c r="K48" i="1"/>
  <c r="M47" i="1"/>
  <c r="P47" i="1" s="1"/>
  <c r="R47" i="1" s="1"/>
  <c r="U47" i="1" s="1"/>
  <c r="Q46" i="1"/>
  <c r="M46" i="1"/>
  <c r="P46" i="1" s="1"/>
  <c r="R46" i="1" s="1"/>
  <c r="U46" i="1" s="1"/>
  <c r="Q45" i="1"/>
  <c r="O45" i="1"/>
  <c r="M45" i="1"/>
  <c r="P45" i="1" s="1"/>
  <c r="R45" i="1" s="1"/>
  <c r="U45" i="1" s="1"/>
  <c r="L45" i="1"/>
  <c r="M44" i="1"/>
  <c r="P44" i="1" s="1"/>
  <c r="T43" i="1"/>
  <c r="M43" i="1"/>
  <c r="Q42" i="1"/>
  <c r="O42" i="1"/>
  <c r="L42" i="1"/>
  <c r="K42" i="1"/>
  <c r="M40" i="1"/>
  <c r="P40" i="1" s="1"/>
  <c r="P39" i="1" s="1"/>
  <c r="T39" i="1"/>
  <c r="T36" i="1" s="1"/>
  <c r="Q39" i="1"/>
  <c r="Q36" i="1" s="1"/>
  <c r="O39" i="1"/>
  <c r="O36" i="1" s="1"/>
  <c r="M39" i="1"/>
  <c r="L39" i="1"/>
  <c r="L36" i="1" s="1"/>
  <c r="K39" i="1"/>
  <c r="K36" i="1" s="1"/>
  <c r="P38" i="1"/>
  <c r="R38" i="1" s="1"/>
  <c r="O38" i="1"/>
  <c r="M38" i="1"/>
  <c r="T37" i="1"/>
  <c r="Q37" i="1"/>
  <c r="O37" i="1"/>
  <c r="M37" i="1"/>
  <c r="L37" i="1"/>
  <c r="K37" i="1"/>
  <c r="M35" i="1"/>
  <c r="P35" i="1" s="1"/>
  <c r="T34" i="1"/>
  <c r="Q34" i="1"/>
  <c r="O34" i="1"/>
  <c r="L34" i="1"/>
  <c r="K34" i="1"/>
  <c r="M33" i="1"/>
  <c r="P33" i="1" s="1"/>
  <c r="T32" i="1"/>
  <c r="Q32" i="1"/>
  <c r="O32" i="1"/>
  <c r="L32" i="1"/>
  <c r="K32" i="1"/>
  <c r="M31" i="1"/>
  <c r="P31" i="1" s="1"/>
  <c r="R31" i="1" s="1"/>
  <c r="U31" i="1" s="1"/>
  <c r="M30" i="1"/>
  <c r="P30" i="1" s="1"/>
  <c r="T29" i="1"/>
  <c r="S29" i="1"/>
  <c r="Q29" i="1"/>
  <c r="O29" i="1"/>
  <c r="M29" i="1"/>
  <c r="L29" i="1"/>
  <c r="K29" i="1"/>
  <c r="Q28" i="1"/>
  <c r="O28" i="1"/>
  <c r="Q27" i="1"/>
  <c r="M27" i="1"/>
  <c r="P27" i="1" s="1"/>
  <c r="R27" i="1" s="1"/>
  <c r="U27" i="1" s="1"/>
  <c r="Q26" i="1"/>
  <c r="M26" i="1"/>
  <c r="P26" i="1" s="1"/>
  <c r="T25" i="1"/>
  <c r="T21" i="1" s="1"/>
  <c r="S25" i="1"/>
  <c r="Q25" i="1"/>
  <c r="O25" i="1"/>
  <c r="M25" i="1"/>
  <c r="L25" i="1"/>
  <c r="K25" i="1"/>
  <c r="P24" i="1"/>
  <c r="R24" i="1" s="1"/>
  <c r="U24" i="1" s="1"/>
  <c r="M24" i="1"/>
  <c r="P23" i="1"/>
  <c r="R23" i="1" s="1"/>
  <c r="M23" i="1"/>
  <c r="T22" i="1"/>
  <c r="S22" i="1"/>
  <c r="Q22" i="1"/>
  <c r="O22" i="1"/>
  <c r="K22" i="1"/>
  <c r="M22" i="1" s="1"/>
  <c r="P22" i="1" s="1"/>
  <c r="Q21" i="1"/>
  <c r="L21" i="1"/>
  <c r="M20" i="1"/>
  <c r="P20" i="1" s="1"/>
  <c r="R20" i="1" s="1"/>
  <c r="U20" i="1" s="1"/>
  <c r="M19" i="1"/>
  <c r="P19" i="1" s="1"/>
  <c r="R19" i="1" s="1"/>
  <c r="U19" i="1" s="1"/>
  <c r="M18" i="1"/>
  <c r="P18" i="1" s="1"/>
  <c r="R18" i="1" s="1"/>
  <c r="U18" i="1" s="1"/>
  <c r="M17" i="1"/>
  <c r="P17" i="1" s="1"/>
  <c r="T16" i="1"/>
  <c r="Q16" i="1"/>
  <c r="O16" i="1"/>
  <c r="L16" i="1"/>
  <c r="K16" i="1"/>
  <c r="M15" i="1"/>
  <c r="P15" i="1" s="1"/>
  <c r="R15" i="1" s="1"/>
  <c r="U15" i="1" s="1"/>
  <c r="Q14" i="1"/>
  <c r="O14" i="1"/>
  <c r="M14" i="1"/>
  <c r="P14" i="1" s="1"/>
  <c r="T13" i="1"/>
  <c r="Q13" i="1"/>
  <c r="O13" i="1"/>
  <c r="L13" i="1"/>
  <c r="K13" i="1"/>
  <c r="M12" i="1"/>
  <c r="P12" i="1" s="1"/>
  <c r="T11" i="1"/>
  <c r="Q11" i="1"/>
  <c r="O11" i="1"/>
  <c r="L11" i="1"/>
  <c r="K11" i="1"/>
  <c r="O10" i="1"/>
  <c r="M10" i="1"/>
  <c r="P10" i="1" s="1"/>
  <c r="T9" i="1"/>
  <c r="Q9" i="1"/>
  <c r="O9" i="1"/>
  <c r="L9" i="1"/>
  <c r="K9" i="1"/>
  <c r="K96" i="1" l="1"/>
  <c r="P106" i="1"/>
  <c r="P105" i="1" s="1"/>
  <c r="M97" i="1"/>
  <c r="P98" i="1"/>
  <c r="R98" i="1" s="1"/>
  <c r="M87" i="1"/>
  <c r="O87" i="1"/>
  <c r="R30" i="1"/>
  <c r="P29" i="1"/>
  <c r="K28" i="1"/>
  <c r="T28" i="1"/>
  <c r="L28" i="1"/>
  <c r="R33" i="1"/>
  <c r="P32" i="1"/>
  <c r="M32" i="1"/>
  <c r="R35" i="1"/>
  <c r="P34" i="1"/>
  <c r="M34" i="1"/>
  <c r="M28" i="1" s="1"/>
  <c r="U57" i="1"/>
  <c r="U56" i="1" s="1"/>
  <c r="R56" i="1"/>
  <c r="P56" i="1"/>
  <c r="P59" i="1"/>
  <c r="R59" i="1"/>
  <c r="R66" i="1"/>
  <c r="P65" i="1"/>
  <c r="P58" i="1" s="1"/>
  <c r="T58" i="1"/>
  <c r="P89" i="1"/>
  <c r="K87" i="1"/>
  <c r="U93" i="1"/>
  <c r="U92" i="1" s="1"/>
  <c r="R92" i="1"/>
  <c r="P92" i="1"/>
  <c r="U95" i="1"/>
  <c r="U94" i="1" s="1"/>
  <c r="R94" i="1"/>
  <c r="T87" i="1"/>
  <c r="P97" i="1"/>
  <c r="P101" i="1"/>
  <c r="R102" i="1"/>
  <c r="M101" i="1"/>
  <c r="O96" i="1"/>
  <c r="L96" i="1"/>
  <c r="Q96" i="1"/>
  <c r="P107" i="1"/>
  <c r="R108" i="1"/>
  <c r="M107" i="1"/>
  <c r="R157" i="1"/>
  <c r="P156" i="1"/>
  <c r="M156" i="1"/>
  <c r="U159" i="1"/>
  <c r="U158" i="1" s="1"/>
  <c r="R158" i="1"/>
  <c r="P158" i="1"/>
  <c r="L155" i="1"/>
  <c r="O155" i="1"/>
  <c r="T155" i="1"/>
  <c r="Q155" i="1"/>
  <c r="P160" i="1"/>
  <c r="P155" i="1" s="1"/>
  <c r="R161" i="1"/>
  <c r="M160" i="1"/>
  <c r="R126" i="1"/>
  <c r="P125" i="1"/>
  <c r="M125" i="1"/>
  <c r="K124" i="1"/>
  <c r="T124" i="1"/>
  <c r="P131" i="1"/>
  <c r="R132" i="1"/>
  <c r="R135" i="1"/>
  <c r="P134" i="1"/>
  <c r="P124" i="1" s="1"/>
  <c r="M134" i="1"/>
  <c r="O73" i="1"/>
  <c r="R111" i="1"/>
  <c r="U112" i="1"/>
  <c r="U111" i="1" s="1"/>
  <c r="P111" i="1"/>
  <c r="O140" i="1"/>
  <c r="U59" i="1"/>
  <c r="M138" i="1"/>
  <c r="M137" i="1" s="1"/>
  <c r="U139" i="1"/>
  <c r="U138" i="1" s="1"/>
  <c r="U137" i="1" s="1"/>
  <c r="R138" i="1"/>
  <c r="R137" i="1" s="1"/>
  <c r="P138" i="1"/>
  <c r="P137" i="1" s="1"/>
  <c r="R123" i="1"/>
  <c r="P122" i="1"/>
  <c r="M114" i="1"/>
  <c r="M122" i="1"/>
  <c r="K114" i="1"/>
  <c r="Q114" i="1"/>
  <c r="P114" i="1"/>
  <c r="R116" i="1"/>
  <c r="P109" i="1"/>
  <c r="R110" i="1"/>
  <c r="M109" i="1"/>
  <c r="P83" i="1"/>
  <c r="R84" i="1"/>
  <c r="M83" i="1"/>
  <c r="P80" i="1"/>
  <c r="R81" i="1"/>
  <c r="T73" i="1"/>
  <c r="M80" i="1"/>
  <c r="R77" i="1"/>
  <c r="P76" i="1"/>
  <c r="M76" i="1"/>
  <c r="R75" i="1"/>
  <c r="R70" i="1"/>
  <c r="U71" i="1"/>
  <c r="U70" i="1" s="1"/>
  <c r="P70" i="1"/>
  <c r="R40" i="1"/>
  <c r="M36" i="1"/>
  <c r="R37" i="1"/>
  <c r="U38" i="1"/>
  <c r="U37" i="1" s="1"/>
  <c r="P37" i="1"/>
  <c r="P36" i="1" s="1"/>
  <c r="P55" i="1"/>
  <c r="Q41" i="1"/>
  <c r="M52" i="1"/>
  <c r="T162" i="1"/>
  <c r="Q162" i="1"/>
  <c r="M174" i="1"/>
  <c r="M42" i="1"/>
  <c r="M41" i="1" s="1"/>
  <c r="K8" i="1"/>
  <c r="T8" i="1"/>
  <c r="O148" i="1"/>
  <c r="P152" i="1"/>
  <c r="R154" i="1"/>
  <c r="U154" i="1" s="1"/>
  <c r="U153" i="1"/>
  <c r="U152" i="1" s="1"/>
  <c r="P149" i="1"/>
  <c r="P148" i="1" s="1"/>
  <c r="R150" i="1"/>
  <c r="M149" i="1"/>
  <c r="M148" i="1" s="1"/>
  <c r="Q140" i="1"/>
  <c r="K140" i="1"/>
  <c r="R142" i="1"/>
  <c r="P141" i="1"/>
  <c r="M141" i="1"/>
  <c r="M140" i="1" s="1"/>
  <c r="T140" i="1"/>
  <c r="M180" i="1"/>
  <c r="P180" i="1"/>
  <c r="T96" i="1"/>
  <c r="K162" i="1"/>
  <c r="M162" i="1" s="1"/>
  <c r="U182" i="1"/>
  <c r="U180" i="1" s="1"/>
  <c r="R180" i="1"/>
  <c r="R145" i="1"/>
  <c r="U146" i="1"/>
  <c r="P145" i="1"/>
  <c r="P140" i="1" s="1"/>
  <c r="R22" i="1"/>
  <c r="U23" i="1"/>
  <c r="U22" i="1" s="1"/>
  <c r="M21" i="1"/>
  <c r="O21" i="1"/>
  <c r="K21" i="1"/>
  <c r="R26" i="1"/>
  <c r="P25" i="1"/>
  <c r="P21" i="1" s="1"/>
  <c r="P13" i="1"/>
  <c r="R14" i="1"/>
  <c r="M13" i="1"/>
  <c r="O8" i="1"/>
  <c r="R10" i="1"/>
  <c r="P9" i="1"/>
  <c r="Q8" i="1"/>
  <c r="M9" i="1"/>
  <c r="L8" i="1"/>
  <c r="P11" i="1"/>
  <c r="P8" i="1" s="1"/>
  <c r="R12" i="1"/>
  <c r="M11" i="1"/>
  <c r="P16" i="1"/>
  <c r="R17" i="1"/>
  <c r="M16" i="1"/>
  <c r="U145" i="1"/>
  <c r="R163" i="1"/>
  <c r="U164" i="1"/>
  <c r="U163" i="1" s="1"/>
  <c r="P163" i="1"/>
  <c r="M163" i="1"/>
  <c r="U175" i="1"/>
  <c r="P176" i="1"/>
  <c r="R53" i="1"/>
  <c r="P52" i="1"/>
  <c r="K41" i="1"/>
  <c r="P49" i="1"/>
  <c r="L41" i="1"/>
  <c r="O41" i="1"/>
  <c r="P43" i="1"/>
  <c r="R43" i="1" s="1"/>
  <c r="R44" i="1"/>
  <c r="U44" i="1" s="1"/>
  <c r="R106" i="1" l="1"/>
  <c r="R105" i="1" s="1"/>
  <c r="R29" i="1"/>
  <c r="U30" i="1"/>
  <c r="U29" i="1" s="1"/>
  <c r="P28" i="1"/>
  <c r="R32" i="1"/>
  <c r="U33" i="1"/>
  <c r="U32" i="1" s="1"/>
  <c r="R34" i="1"/>
  <c r="U35" i="1"/>
  <c r="U34" i="1" s="1"/>
  <c r="U28" i="1" s="1"/>
  <c r="R65" i="1"/>
  <c r="R58" i="1" s="1"/>
  <c r="U66" i="1"/>
  <c r="U65" i="1" s="1"/>
  <c r="U58" i="1" s="1"/>
  <c r="P88" i="1"/>
  <c r="P87" i="1" s="1"/>
  <c r="R89" i="1"/>
  <c r="P96" i="1"/>
  <c r="U98" i="1"/>
  <c r="U97" i="1" s="1"/>
  <c r="R97" i="1"/>
  <c r="M96" i="1"/>
  <c r="U102" i="1"/>
  <c r="U101" i="1" s="1"/>
  <c r="R101" i="1"/>
  <c r="U106" i="1"/>
  <c r="U105" i="1" s="1"/>
  <c r="U108" i="1"/>
  <c r="U107" i="1" s="1"/>
  <c r="R107" i="1"/>
  <c r="M155" i="1"/>
  <c r="R156" i="1"/>
  <c r="U157" i="1"/>
  <c r="U156" i="1" s="1"/>
  <c r="R160" i="1"/>
  <c r="U161" i="1"/>
  <c r="U160" i="1" s="1"/>
  <c r="R125" i="1"/>
  <c r="U126" i="1"/>
  <c r="U125" i="1" s="1"/>
  <c r="M124" i="1"/>
  <c r="R131" i="1"/>
  <c r="U132" i="1"/>
  <c r="U131" i="1" s="1"/>
  <c r="R134" i="1"/>
  <c r="R124" i="1" s="1"/>
  <c r="U135" i="1"/>
  <c r="U134" i="1" s="1"/>
  <c r="P73" i="1"/>
  <c r="U123" i="1"/>
  <c r="U122" i="1" s="1"/>
  <c r="R122" i="1"/>
  <c r="U116" i="1"/>
  <c r="U115" i="1" s="1"/>
  <c r="U114" i="1" s="1"/>
  <c r="R115" i="1"/>
  <c r="R109" i="1"/>
  <c r="U110" i="1"/>
  <c r="U109" i="1" s="1"/>
  <c r="U84" i="1"/>
  <c r="U83" i="1" s="1"/>
  <c r="R83" i="1"/>
  <c r="U81" i="1"/>
  <c r="U80" i="1" s="1"/>
  <c r="R80" i="1"/>
  <c r="M73" i="1"/>
  <c r="R76" i="1"/>
  <c r="U77" i="1"/>
  <c r="U76" i="1" s="1"/>
  <c r="R74" i="1"/>
  <c r="U75" i="1"/>
  <c r="U74" i="1" s="1"/>
  <c r="U40" i="1"/>
  <c r="U39" i="1" s="1"/>
  <c r="U36" i="1" s="1"/>
  <c r="R39" i="1"/>
  <c r="R36" i="1" s="1"/>
  <c r="R55" i="1"/>
  <c r="P54" i="1"/>
  <c r="R42" i="1"/>
  <c r="U43" i="1"/>
  <c r="Q187" i="1"/>
  <c r="K187" i="1"/>
  <c r="O187" i="1"/>
  <c r="M8" i="1"/>
  <c r="R152" i="1"/>
  <c r="U150" i="1"/>
  <c r="U149" i="1" s="1"/>
  <c r="U148" i="1" s="1"/>
  <c r="R149" i="1"/>
  <c r="R148" i="1" s="1"/>
  <c r="U142" i="1"/>
  <c r="U141" i="1" s="1"/>
  <c r="U140" i="1" s="1"/>
  <c r="R141" i="1"/>
  <c r="R140" i="1" s="1"/>
  <c r="T187" i="1"/>
  <c r="U26" i="1"/>
  <c r="U25" i="1" s="1"/>
  <c r="U21" i="1" s="1"/>
  <c r="R25" i="1"/>
  <c r="R21" i="1" s="1"/>
  <c r="U14" i="1"/>
  <c r="U13" i="1" s="1"/>
  <c r="R13" i="1"/>
  <c r="R9" i="1"/>
  <c r="U9" i="1" s="1"/>
  <c r="U10" i="1"/>
  <c r="L187" i="1"/>
  <c r="R11" i="1"/>
  <c r="U12" i="1"/>
  <c r="U11" i="1" s="1"/>
  <c r="U17" i="1"/>
  <c r="U16" i="1" s="1"/>
  <c r="R16" i="1"/>
  <c r="R176" i="1"/>
  <c r="P174" i="1"/>
  <c r="P162" i="1" s="1"/>
  <c r="U53" i="1"/>
  <c r="U52" i="1" s="1"/>
  <c r="R52" i="1"/>
  <c r="R49" i="1"/>
  <c r="P48" i="1"/>
  <c r="P42" i="1"/>
  <c r="U42" i="1"/>
  <c r="R28" i="1" l="1"/>
  <c r="U89" i="1"/>
  <c r="U88" i="1" s="1"/>
  <c r="U87" i="1" s="1"/>
  <c r="R88" i="1"/>
  <c r="R87" i="1" s="1"/>
  <c r="R96" i="1"/>
  <c r="U96" i="1"/>
  <c r="R155" i="1"/>
  <c r="U155" i="1"/>
  <c r="U124" i="1"/>
  <c r="M187" i="1"/>
  <c r="R114" i="1"/>
  <c r="U73" i="1"/>
  <c r="R73" i="1"/>
  <c r="U55" i="1"/>
  <c r="U54" i="1" s="1"/>
  <c r="R54" i="1"/>
  <c r="U8" i="1"/>
  <c r="R8" i="1"/>
  <c r="U176" i="1"/>
  <c r="U174" i="1" s="1"/>
  <c r="U162" i="1" s="1"/>
  <c r="R174" i="1"/>
  <c r="R162" i="1" s="1"/>
  <c r="P41" i="1"/>
  <c r="P187" i="1" s="1"/>
  <c r="U49" i="1"/>
  <c r="U48" i="1" s="1"/>
  <c r="U41" i="1" s="1"/>
  <c r="R48" i="1"/>
  <c r="R41" i="1" s="1"/>
  <c r="R187" i="1" l="1"/>
  <c r="U187" i="1"/>
</calcChain>
</file>

<file path=xl/sharedStrings.xml><?xml version="1.0" encoding="utf-8"?>
<sst xmlns="http://schemas.openxmlformats.org/spreadsheetml/2006/main" count="976" uniqueCount="446">
  <si>
    <t>07</t>
  </si>
  <si>
    <t>0</t>
  </si>
  <si>
    <t>40</t>
  </si>
  <si>
    <t/>
  </si>
  <si>
    <t>06</t>
  </si>
  <si>
    <t>05</t>
  </si>
  <si>
    <t>04</t>
  </si>
  <si>
    <t>02</t>
  </si>
  <si>
    <t>01</t>
  </si>
  <si>
    <t>2</t>
  </si>
  <si>
    <t>25</t>
  </si>
  <si>
    <t>03</t>
  </si>
  <si>
    <t>EВ</t>
  </si>
  <si>
    <t>1</t>
  </si>
  <si>
    <t>08</t>
  </si>
  <si>
    <t>3</t>
  </si>
  <si>
    <t>24</t>
  </si>
  <si>
    <t>F2</t>
  </si>
  <si>
    <t>23</t>
  </si>
  <si>
    <t>22</t>
  </si>
  <si>
    <t>21</t>
  </si>
  <si>
    <t>18</t>
  </si>
  <si>
    <t>17</t>
  </si>
  <si>
    <t>16</t>
  </si>
  <si>
    <t>15</t>
  </si>
  <si>
    <t>4</t>
  </si>
  <si>
    <t>14</t>
  </si>
  <si>
    <t>13</t>
  </si>
  <si>
    <t>12</t>
  </si>
  <si>
    <t>11</t>
  </si>
  <si>
    <t>10</t>
  </si>
  <si>
    <t>09</t>
  </si>
  <si>
    <t>A1</t>
  </si>
  <si>
    <t>I5</t>
  </si>
  <si>
    <t>I4</t>
  </si>
  <si>
    <t xml:space="preserve">    К В Р </t>
  </si>
  <si>
    <t xml:space="preserve">    К Ц С Р </t>
  </si>
  <si>
    <t>Муниципальная программа "Развитие систем гражданской защиты населения города Мегиона"</t>
  </si>
  <si>
    <t>ИТОГО:</t>
  </si>
  <si>
    <t>№ муниципальной программы</t>
  </si>
  <si>
    <t>Наименование муниципальной программы города Мегиона</t>
  </si>
  <si>
    <t>Подпрограмма "Функционирование единой дежурно - диспетчерской службы  города Мегиона"</t>
  </si>
  <si>
    <t>Основное мероприятие "Содержание каналов связи, обеспечение информационной безопасности"</t>
  </si>
  <si>
    <t>Подпрограмма "Развитие системы оповещения населения при угрозе возникновения чрезвычайных ситуаций на территории города Мегиона"</t>
  </si>
  <si>
    <t>Решение Думы города Мегиона от 15.12.2023 №347 (утверждённый бюджет)                                                      (тыс. рублей)</t>
  </si>
  <si>
    <t>Изменения сводной бюджетной росписи (+;-)                                                                   (тыс. рублей)</t>
  </si>
  <si>
    <t>Проект с учетом внесенных изменений                   (тыс. рублей)</t>
  </si>
  <si>
    <t>Примечание</t>
  </si>
  <si>
    <t>приложение  2</t>
  </si>
  <si>
    <t>к пояснительной записке</t>
  </si>
  <si>
    <t xml:space="preserve">      Информация об изменении показателей объема бюджетных ассигнований на реализацию муниципальных программ и непрограммных направлений деятельности </t>
  </si>
  <si>
    <t>Основное мероприятие "Совершенствование системы оповещения населения города"</t>
  </si>
  <si>
    <t>Подпрограмма "Предупреждение и ликвидация чрезвычайных ситуаций"</t>
  </si>
  <si>
    <t>Основное мероприятие "Обеспечение деятельности МКУ "УГЗН"</t>
  </si>
  <si>
    <t>Основное мероприятие "Обеспечение выполнения полномочий и функций МКУ "УГЗН" в установленных сферах деятельности"</t>
  </si>
  <si>
    <t>Муниципальная программа  "Улучшение условий и охраны труда в  городе Мегионе"</t>
  </si>
  <si>
    <t>Основное мероприятие "Совершенствование государственного управления охраной труда в городе Мегионе"</t>
  </si>
  <si>
    <t>Основное мероприятие "Развитие социального партнерства между органами исполнительной власти, органами местного самоуправления, работодателями и общественными организациями для реализации государственной политики в области охраны труда"</t>
  </si>
  <si>
    <t>Основное мероприятие "Снижение производственного травматизма"</t>
  </si>
  <si>
    <t>Основное мероприятие " Улучшение условий труда в городе Мегионе"</t>
  </si>
  <si>
    <t>Муниципальная программа "Поддержка и развитие малого и среднего предпринимательства  на территории города Мегиона"</t>
  </si>
  <si>
    <t>Подпрограмма "Поддержка и развитие малого и среднего предпринимательства"</t>
  </si>
  <si>
    <t>Региональный проект "Создание условий для легкого старта и комфортного ведения бизнеса"</t>
  </si>
  <si>
    <t>Региональный проект "Акселерация субъектов малого и среднего предпринимательства"</t>
  </si>
  <si>
    <t>Подпрограмма "Поддержка сельскохозяйственного производства"</t>
  </si>
  <si>
    <t>Основное мероприятие "Развитие отрасли животноводства"</t>
  </si>
  <si>
    <t>Муниципальная программа "Развитие гражданского общества на территории города Мегиона"</t>
  </si>
  <si>
    <t>Подпрограмма "Создание условий для реализации гражданских инициатив"</t>
  </si>
  <si>
    <t>Основное мероприятие "Финансовая поддержка социально ориентированных некоммерческих организаций"</t>
  </si>
  <si>
    <t>Основное мероприятие "Развитие добровольческой (волонтёрской) деятельности на территории города Мегиона"</t>
  </si>
  <si>
    <t>Подпрограмма "Обеспечение доступа граждан к информации о социально значимых мероприятиях города Мегиона"</t>
  </si>
  <si>
    <t>Основное мероприятие "Организация и проведение информационных мероприятий для местных СМИ"</t>
  </si>
  <si>
    <t>Подпрограмма "Создание условий для выполнения функций, направленных на обеспечение прав и законных интересов  жителей городского округа в отдельных сферах жизнедеятельности"</t>
  </si>
  <si>
    <t>Основное мероприятие "Обеспечение взаимодействия с политическими партиями, избирательными комиссиями, законодательными (представительным) органами государственной власти и местного самоуправления в сфере регионального развития и содействия развитию местного самоуправления в городе Мегионе, прогноза общественно-политической ситуации"</t>
  </si>
  <si>
    <t>Муниципальная программа "Управление муниципальными финансами в городе Мегионе"</t>
  </si>
  <si>
    <t>Подпрограмма  "Организация бюджетного процесса в городе Мегионе"</t>
  </si>
  <si>
    <t>Основное мероприятие "Обеспечение деятельности главных распорядителей бюджетных средств в бюджетной сфере, в сфере налогов и сборов, в сфере закупок"</t>
  </si>
  <si>
    <t>Подпрограмма  "Управление муниципальным долгом"</t>
  </si>
  <si>
    <t>Основное мероприятие "Обслуживание муниципального внутреннего долга "</t>
  </si>
  <si>
    <t>Муниципальная программа  "Культурное пространство в городе Мегионе"</t>
  </si>
  <si>
    <t>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</si>
  <si>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Основное мероприятие "Развитие музейного дела"</t>
  </si>
  <si>
    <t>Основное мероприятие "Развитие библиотечного дела"</t>
  </si>
  <si>
    <t>Региональный проект  "Культурная среда"</t>
  </si>
  <si>
    <t>Основное мероприятие "Укрепление материально-технической базы учреждений культуры"</t>
  </si>
  <si>
    <t>Основное мероприятие "Поддержка одаренных детей и молодежи, развитие художественного образования"</t>
  </si>
  <si>
    <t>Подпрограмма "Поддержка творческих инициатив, способствующих самореализации населения"</t>
  </si>
  <si>
    <t>Основное мероприятие "Развитие профессионального искусства"</t>
  </si>
  <si>
    <t>Основное мероприятие "Стимулирование культурного разнообразия в городе Мегионе"</t>
  </si>
  <si>
    <t>Основное мероприятие "Повышение  уровня профессиональной компетенции муниципальных служащих"</t>
  </si>
  <si>
    <t>Муниципальная программа "Развитие муниципальной службы в городе Мегионе"</t>
  </si>
  <si>
    <t>Основное мероприятие "Реализация единой государственной политики в сфере культуры"</t>
  </si>
  <si>
    <t>Подпрограмма "Организационные, экономические механизмы развития культуры  и историко-культурного наследия"</t>
  </si>
  <si>
    <t>Муниципальная программа "Информационное обеспечение деятельности органов местного самоуправления города Мегиона"</t>
  </si>
  <si>
    <t>Основное мероприятие "Обеспечение производства и распространение информации о деятельности органов местного самоуправления, иной социально значимой информации на территории муниципального образования городе Мегионе"</t>
  </si>
  <si>
    <t>Основное мероприятие "Реализация Всероссийского физкультурно-спортивного комплекса "Готов к труду и обороне" (ГТО)</t>
  </si>
  <si>
    <t>Муниципальная программа "Развитие физической культуры и спорта, укрепление общественного здоровья в городе Мегионе"</t>
  </si>
  <si>
    <t>Основное мероприятие "Проведение муниципальных Спартакиад, физкультурно-массовых мероприятий, спортивных мероприятий, первенств и чемпионатов по видам спорта"</t>
  </si>
  <si>
    <t>Подпрограмма "Развитие физической культуры и массового спорта"</t>
  </si>
  <si>
    <t>Основное мероприятие "Создание условий для удовлетворения потребности населения города в оказании услуг в сфере физической культуры и спорта"</t>
  </si>
  <si>
    <t>Основное мероприятие "Финансовое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Мегиона"</t>
  </si>
  <si>
    <t>Подпрограмма "Развитие системы подготовки спортивного резерва"</t>
  </si>
  <si>
    <t>Основное мероприятие "Комплекс мероприятий по обеспечению процесса спортивной подготовки"</t>
  </si>
  <si>
    <t>Основное мероприятие "Реализация мероприятий по приобретению спортивного оборудования и инвентаря"</t>
  </si>
  <si>
    <t>Основное мероприятие "Развитие сети спортивных объектов шаговой доступности"</t>
  </si>
  <si>
    <t>Муниципальная программа "Управление муниципальным имуществом города Мегиона"</t>
  </si>
  <si>
    <t>Основное мероприятие "Обеспечение выполнения полномочий и функций администрации города в сферах управления муниципальным имуществом и землепользования"</t>
  </si>
  <si>
    <t>Основное мероприятие "Капитальный ремонт, реконструкция и ремонт муниципального имущества"</t>
  </si>
  <si>
    <t>Муниципальная программа "Развитие жилищной сферы на территории города Мегиона"</t>
  </si>
  <si>
    <t>Подпрограмма "Обеспечение жильем молодых семей"</t>
  </si>
  <si>
    <t>Основное мероприятие "Улучшение жилищных условий молодых семей"</t>
  </si>
  <si>
    <t>Подпрограмма  "Улучшение жилищных условий отдельных категорий граждан"</t>
  </si>
  <si>
    <t>Основное мероприятие "Повышение уровня благосостояния малоимущих граждан и граждан, нуждающихся в особой заботе государства"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</si>
  <si>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</si>
  <si>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Подпрограмма "Содействие развитию жилищного строительства на территории города Мегиона"</t>
  </si>
  <si>
    <t>Муниципальная программа "Развитие информационного общества на территории города Мегиона"</t>
  </si>
  <si>
    <t>Основное мероприятие "Приобретение жилья, изъятие земельного участка, в целях реализации полномочий в области жилищных отношений, установленных законодательством Российской Федерации"</t>
  </si>
  <si>
    <t>Основное мероприятие "Обеспечение доступа к информации о деятельности органов местного самоуправления и находящихся в их ведении учреждений, развитие и сопровождение инфраструктуры электронного правительства и информационных сетей"</t>
  </si>
  <si>
    <t>Основное мероприятие "Обеспечение деятельности муниципальных  учреждений"</t>
  </si>
  <si>
    <t>Основное мероприятие "Защита информации органов местного самоуправления  города Мегиона"</t>
  </si>
  <si>
    <t>Основное мероприятие "Обеспечение доступности и повышение качества транспортных услуг автомобильным транспортом"</t>
  </si>
  <si>
    <t>Основное мероприятие "Строительство (реконструкция), капитальный ремонт и ремонт автомобильных дорог общего пользования, искусственных сооружений, а также внутриквартальных проездов"</t>
  </si>
  <si>
    <t>Подпрограмма "Развитие транспортной системы"</t>
  </si>
  <si>
    <t>Муниципальная программа "Развитие транспортной системы города Мегиона"</t>
  </si>
  <si>
    <t>Основное мероприятие "Субсидии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обратно"</t>
  </si>
  <si>
    <t>Подпрограмма "Содержание и текущий ремонт автомобильных дорог,  проездов, элементов обустройства улично-дорожной сети, объектов внешнего благоустройства города Мегиона"</t>
  </si>
  <si>
    <t>Муниципальная программа "Развитие жилищно-коммунального комплекса и повышение энергетической эффективности в городе Мегионе"</t>
  </si>
  <si>
    <t>Основное мероприятие "Обеспечение стабильной благополучной эпизоотической обстановки в городе Мегионе и защита населения от болезней, общих для человека и животных"</t>
  </si>
  <si>
    <t>Подпрограмма  "Содержание объектов внешнего благоустройства города Мегиона"</t>
  </si>
  <si>
    <t>Подпрограмма   "Формирование законопослушного поведения участников дорожного движения, повышение безопасности дорожного движения в городе Мегионе"</t>
  </si>
  <si>
    <t>Основное мероприятие "Совершенствование условий движения и организации  дорожного движения на улично-дорожной сети города"</t>
  </si>
  <si>
    <t>Основное мероприятие "Обеспечение единого порядка содержания объектов внешнего благоустройства"</t>
  </si>
  <si>
    <t>Подпрограмма "Модернизация и реформирование жилищно-коммунального комплекса города Мегиона"</t>
  </si>
  <si>
    <t>Основное мероприятие "Строительство городского кладбища"</t>
  </si>
  <si>
    <t>Подпрограмма "Энергосбережение  и повышение  энергетической эффективности и энергобезопасности города Мегиона"</t>
  </si>
  <si>
    <t>Основное мероприятие "Возмещение недополученных доходов организациям, осуществляющим реализацию населению сжиженного газа и возмещение расходов организации за доставку населению сжиженного газа для бытовых нужд"</t>
  </si>
  <si>
    <t>Основное мероприятие " Реконструкция, расширение, модернизация, строительство и капитальный ремонт объектов коммунального комплекса"</t>
  </si>
  <si>
    <t>Подпрограмма "Капитальный ремонт, реконструкция и ремонт  муниципального жилого фонда города Мегиона"</t>
  </si>
  <si>
    <t>Основное мероприятие "Энергосбережение в бюджетной сфере"</t>
  </si>
  <si>
    <t>Основное мероприятие "Капитальный ремонт, реконструкция и ремонт  муниципального жилого фонда города Мегиона"</t>
  </si>
  <si>
    <t>Муниципальная программа "Мероприятия в области градостроительной деятельности города Мегиона"</t>
  </si>
  <si>
    <t>Основное мероприятие "Формирование доступности жилых помещений (в соответствии с оптимальным перечнем) и общего имущества в многоквартирном доме, в котором расположены жилые помещения для инвалидов и других маломобильных групп населения"</t>
  </si>
  <si>
    <t>Основное мероприятие "Повышение условий доступности приоритетных объектов, находящихся в муниципальной собственности, в приоритетных сферах жизнедеятельности для инвалидов и других маломобильных групп населения"</t>
  </si>
  <si>
    <t>Муниципальная программа "Формирование доступной среды для инвалидов и других маломобильных групп населения на территории города Мегиона"</t>
  </si>
  <si>
    <t>Основное мероприятие "Совершенствование системы управления градостроительным развитием территории"</t>
  </si>
  <si>
    <t>Муниципальная программа "Профилактика правонарушений в сфере общественного порядка, незаконного оборота и злоупотребления наркотиками в городе Мегионе"</t>
  </si>
  <si>
    <t>Подпрограмма "Профилактика правонарушений"</t>
  </si>
  <si>
    <t>Основное мероприятие "Создание условий для деятельности народных дружин"</t>
  </si>
  <si>
    <t>Основное мероприятие "Мероприятия, направленные на профилактику правонарушений, в том числе профилактику правонарушений среди несовершеннолетних"</t>
  </si>
  <si>
    <t>Подпрограмма "Профилактика незаконного оборота и потребления наркотических средств и психотропных веществ"</t>
  </si>
  <si>
    <t>Основное мероприятие "Проведение информационной антинаркотической политики, просветительских мероприятий"</t>
  </si>
  <si>
    <t>Основное мероприятие "Развитие профилактической антинаркотической направленности"</t>
  </si>
  <si>
    <t>Основное мероприятие "Поддержка социально ориентированных некоммерческих организаций, осуществляющих свою деятельность в сфере профилактики наркомании"</t>
  </si>
  <si>
    <t>Подпрограмма "Обеспечение защиты прав потребителей"</t>
  </si>
  <si>
    <t>Муниципальная программа "Укрепление межнационального и межконфессионального согласия, профилактика экстремизма и терроризма в городе Мегионе"</t>
  </si>
  <si>
    <t>Подпрограмма " Укрепление межнационального и межконфессионального согласия, поддержка и развитие языков и культуры народов Российской Федерации, проживающих в городе Мегионе, обеспечение социальной и культурной адаптации иностранных граждан (мигрантов), профилактика межнациональных (межэтнических), межконфессиональных конфликтов"</t>
  </si>
  <si>
    <t>Основное мероприятие "Содействие этнокультурному развитию народов, формированию общероссийского гражданского самосознания, патриотизма и солидарности"</t>
  </si>
  <si>
    <t>Основное мероприятие "Содействие развитию общественных инициатив, направленных на гармонизацию межэтнических отношений, укрепление позитивного этнического самосознания и обеспечение потребностей граждан, связанных с их этнической  принадлежностью"</t>
  </si>
  <si>
    <t>Основное мероприятие "Социальная и культурная адаптация иностранных граждан (мигрантов)"</t>
  </si>
  <si>
    <t>Основное мероприятие " Реализация комплексной информационной кампании, направленной на укрепление общегражданской идентичности и межнационального ( межэтнического), межконфессионального и межкультурного взаимодействия"</t>
  </si>
  <si>
    <t>Основное мероприятие " Развитие духовно-нравственных основ и самобытной культуры российского казачества и повышение его роли в воспитании подрастающего поколения в духе патриотизма"</t>
  </si>
  <si>
    <t>Подпрограмма " Участие в профилактике экстремизма, а также в минимизации и (или) ликвидации последствий проявлений экстремизма"</t>
  </si>
  <si>
    <t>Основное мероприятие "Профилактика экстремизма, минимизация условий для проявлений экстремизма на территории города Мегиона"</t>
  </si>
  <si>
    <t>Основное мероприятие " Мероприятия по информационному противодействию идеологии терроризма"</t>
  </si>
  <si>
    <t>Подпрограмма "Участие в профилактике терроризма, а также в минимизации и (или) ликвидации последствий проявлений терроризма"</t>
  </si>
  <si>
    <t>Основное мероприятие "Профилактика экстремизма в молодежной среде"</t>
  </si>
  <si>
    <t>Муниципальная программа "Развитие экологической безопасности на территории города Мегиона"</t>
  </si>
  <si>
    <t>Основное мероприятие " Обеспечение выполнения требований антитеррористической защищенности объектов массового пребывания людей"</t>
  </si>
  <si>
    <t>Подпрограмма "Организация мероприятий по охране окружающей среды и уменьшению негативного воздействия на окружающую среду"</t>
  </si>
  <si>
    <t>Основное мероприятие "Снижение и ликвидация вредного воздействия отходов производства и потребления на окружающую среду  и здоровье населения"</t>
  </si>
  <si>
    <t>Муниципальная программа "Развитие муниципального управления "</t>
  </si>
  <si>
    <t>Подпрограмма "Осуществление функций должностных лиц и органов администрации города в рамках собственных и переданных государственных полномочий"</t>
  </si>
  <si>
    <t>Основное мероприятие "Обеспечение деятельности администрации города"</t>
  </si>
  <si>
    <t>Основное мероприятие "Исполнение иных функций и полномочий органов местного самоуправления"</t>
  </si>
  <si>
    <t>Основное мероприятие "Осуществление переданных государственных полномочий"</t>
  </si>
  <si>
    <t>Основное мероприятие "Обеспечение деятельности органов местного самоуправления"</t>
  </si>
  <si>
    <t>Основное мероприятие "Реализация полномочий органов местного самоуправления в сфере строительства, реконструкции, ремонта, технического обслуживания объектов жилищного, промышленного, гражданского строительства, объектов коммунального, социально-культурного назначения, а так же реализация полномочий в сфере владения и пользования муниципальным имуществом"</t>
  </si>
  <si>
    <t>Подпрограмма "Обеспечение исполнения функций и полномочий органов местного самоуправления, совершенствование учета деятельности муниципальных учреждений"</t>
  </si>
  <si>
    <t>Муниципальная программа "Формирование современной городской среды города Мегиона"</t>
  </si>
  <si>
    <t>Подпрограмма "Благоустройство дворовых территорий"</t>
  </si>
  <si>
    <t>Основное мероприятие "Повышение уровня благоустройства и комфорта дворовых территорий в условиях сложившейся застройки"</t>
  </si>
  <si>
    <t>Региональный проект "Формирование комфортной городской среды"</t>
  </si>
  <si>
    <t>Муниципальная программа "Молодежная политика города Мегиона"</t>
  </si>
  <si>
    <t>Подпрограмма "Развитие молодежной политики в городе Мегионе"</t>
  </si>
  <si>
    <t>Основное мероприятие "Организация и проведение мероприятий творческой, спортивной, профилактической, гражданско-патриотической и добровольческой направленности городского уровня"</t>
  </si>
  <si>
    <t>Основное мероприятие "Реализация и обеспечение деятельности муниципальных учреждений молодежной политики"</t>
  </si>
  <si>
    <t>Подпрограмма "Развитие и организационное обеспечение деятельности муниципальных учреждений молодежной политики"</t>
  </si>
  <si>
    <t>Основное мероприятие "Организация временного трудоустройства несовершеннолетних граждан"</t>
  </si>
  <si>
    <t>Подпрограмма "Содействие трудовой занятости несовершеннолетних граждан"</t>
  </si>
  <si>
    <t>Муниципальная программа "Развитие образования"</t>
  </si>
  <si>
    <t>Основное мероприятие "Обеспечение функций органов местного самоуправления (управление) и обеспечения деятельности департамента образования администрации города"</t>
  </si>
  <si>
    <t>Подпрограмма "Общее и дополнительное образование детей"</t>
  </si>
  <si>
    <t>Основное мероприятие "Выплата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образования"</t>
  </si>
  <si>
    <t>Основное мероприятие "Развитие системы дошкольного и общего образования"</t>
  </si>
  <si>
    <t>Основное мероприятие "Развитие системы персонифицированного финансирования дополнительного образования детей"</t>
  </si>
  <si>
    <t>Основное мероприятие "Организация питания в муниципальных общеобразовательных организациях"</t>
  </si>
  <si>
    <t>Основное мероприятие "Развитие и организационное обеспечение деятельности (оказание услуг) в муниципальных организаций"</t>
  </si>
  <si>
    <t>Основное мероприятие "Организация отдыха и оздоровления детей и подростков"</t>
  </si>
  <si>
    <t>Региональный проект "Патриотическое воспитание граждан Российской Федерации"</t>
  </si>
  <si>
    <t>Основное мероприятие "Обеспечение  
комплексной безопасности образовательных организаций"</t>
  </si>
  <si>
    <t>Подпрограмма "Ресурсное обеспечение в сфере образования"</t>
  </si>
  <si>
    <t>Основное мероприятие "Подготовка  образовательных организаций  к осенне-зимнему периоду, к новому учебному году"</t>
  </si>
  <si>
    <t>Основное мероприятие "Проведение мероприятий по приведению в нормативное состояние антитеррористической защищенности объектов (территорий) образовательных организаций "</t>
  </si>
  <si>
    <t xml:space="preserve">Основное мероприятие "Оснащение и модернизация технологического оборудования для пищеблоков образовательных организаций " </t>
  </si>
  <si>
    <t>Основные мероприятия "Реализация мероприятий по модернизации школьных систем образования"</t>
  </si>
  <si>
    <t>Основное мероприятие "Обеспечение деятельности  Думы города"</t>
  </si>
  <si>
    <t>Непрограммные расходы органов местного самоуправления</t>
  </si>
  <si>
    <t>Основное мероприятие "Обеспечение деятельности контрольно-счетной палаты города Мегиона"</t>
  </si>
  <si>
    <t>Основное мероприятие "Формирование резервного фонда администрации города"</t>
  </si>
  <si>
    <t>Основное мероприятие "Реализация норм, установленных Бюджетным кодексом Российской Федерации"</t>
  </si>
  <si>
    <t>Основное мероприятие "Реализация иных полномочий органов местного самоуправления"</t>
  </si>
  <si>
    <t>Подпрограмма "Благоустройство территорий общего пользования"</t>
  </si>
  <si>
    <t>Основное мероприятие "Повышение качества и комфорта территорий общего пользования"</t>
  </si>
  <si>
    <t>(+) 1 158,6 тыс. рублей - увеличен объем бюджетных ассигнований, путем внутреннего перераспределения, в целях уточнения кодов бюджетной классификации расходов (проведение ремонтных работ в МАУ «СШ «Юность (средства местного бюджета)</t>
  </si>
  <si>
    <t>(-) 1 158,6 тыс. рублей - уменьшен объем бюджетных ассигнований, путем внутреннего перераспределения, в целях уточнения кодов бюджетной классификации расходов (проведение ремонтных работ в МАУ «СШ «Юность (средства местного бюджета)</t>
  </si>
  <si>
    <t>Основное мероприятие "Предоставление субсидии из бюджета города Мегиона на финансовое 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оказывающих коммунальные услуги населению города Мегиона, связанных с погашением задолженности за потребленные топливно-энергетические ресурсы"</t>
  </si>
  <si>
    <t>Региональный проект "Обеспечение устойчивого сокращения непригодного для проживания жилищного фонда"</t>
  </si>
  <si>
    <t>(-) 1 200,0 тыс. рублей - уменьшен объем бюджетных ассигнований путем внутреннего перераспределения на оказание услуг по погребению умерших (копка могил) (средства местного бюджета)</t>
  </si>
  <si>
    <t>(+) 0,5 тыс. рублей - увеличен объем бюджетных ассигнований на обеспечение мероприятий по модернизации систем коммунальной инфраструктуры (средства местного бюджета)</t>
  </si>
  <si>
    <t>(+) 1 105,0 тыс. рублей - увеличен объем бюджетных ассигнований на приобретение туалетного модуля для объекта "Парк на берегу р. Мега ("МегаПарк") в г. Мегионе", разработку дизайн - проекта для благоустройства набережной от Аллеи трудовой славы до МегаПарка (средства местного бюджета)</t>
  </si>
  <si>
    <t xml:space="preserve">(+) 163,4 тыс. рублей - увеличен объем бюджетных ассигнований на заработную плату и начисления на выплаты по оплате труда за исполнение обязанностей заместителя главы города (средства местного бюджета)
</t>
  </si>
  <si>
    <t>F3</t>
  </si>
  <si>
    <t>(+) 85 045,0 тыс. рублей - увеличен объем бюджетных ассигнований в целях обеспечения доли софинансирования для реализации мероприятий по обеспечению устойчивого сокращения непригодного для проживания жилищного фонда (средства бюджета автономного округа – 66 171,5 тыс. рублей, средства публично-правовой компании "Фонд развития территорий» - 12 919,5 тыс. рублей, средства местного бюджета - 5 954,0 тыс. рублей)</t>
  </si>
  <si>
    <t>(+) 392,9 тыс. рублей - увеличен объем бюджетных ассигнований на реализацию мероприятий по обеспечению жильем молодых семей (средства бюджета автономного округа – 343,9 тыс. рублей, средства федерального бюджета – 29,3 тыс. рублей, средства местного бюджета - 19,7 тыс. рублей)</t>
  </si>
  <si>
    <t>(+) 0,5 тыс. рублей - увеличен объем бюджетных ассигнований на обеспечение мероприятий по модернизации систем коммунальной инфраструктуры (средства местного бюджета);                                                                                                                                                                                 (+) 77 305,6 тыс. рублей - увеличен объем целевых межбюджетных трансфертов на реализацию мероприятий за счет бюджетных ассигнований резервного фонда Правительства ХМАО – Югры на финансовое обеспечение непредвиденных расходов, в целях оплаты задолженности организаций коммунального комплекса за потребленный газ (средства автономного округа)</t>
  </si>
  <si>
    <t>Основное мероприятие "Обеспечение комплексной безопасности учреждений культуры и дополнительного образования в сфере культуры"</t>
  </si>
  <si>
    <t>(+) 210,0 тыс. рублей - увеличен объем бюджетных ассигнований на оплату услуг по монтажу и пуско-наладке системы речевого оповещения МБУ «Централизованная библиотечная система» в сумме 210,0 тыс. рублей</t>
  </si>
  <si>
    <t>(+) 1 087,9 тыс. рублей - увеличен объем бюджетных ассигнований на обустройство входной группы с установкой пандуса МБУ ЦБС (средства местного бюджета)</t>
  </si>
  <si>
    <t>(+) 5 952,9 тыс. рублей - увеличен объем бюджетных ассигнований на природоохранные мероприятия (ликвидация свалок) (остаток средств местного бюджета)</t>
  </si>
  <si>
    <t xml:space="preserve">(+) 2 150,0 тыс. рублей - увеличен объем бюджетных ассигнований для уплаты административных штрафов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32,6 тыс. рублей - увеличен объем бюджетных ассигнований на приобретение ГСМ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84,0 тыс. рублей - увеличен объем бюджетных ассигнований на приобретение серверного оборудования (средства местного бюджета)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</si>
  <si>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(-) 7,9 тыс. рублей - уменьшен объем бюджетных ассигнований для возврата денежных средств в бюджет Ханты-Мансийского автономного округа - Югры по требованию Департамента экономического развития Ханты-Мансийского автономного округа - Югры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0,5 тыс. рублей - уменьшен объем бюджетных ассигнований на обеспечение мероприятий по модернизации систем коммунальной инфраструктуры (средства местного бюджета);                                                                                                                                                                                     (-) 345,0 тыс. рублей - уменьшен объем бюджетных ассигнований на оплату исполнительных документов, административного штрафа (средства местного бюджета);                                                                                                                                                                                                                            (-) 163,4 тыс. рублей - уменьшен объем бюджетных ассигнований на заработную плату и начисления на выплаты по оплате труда за исполнение обязанностей заместителя главы города средства местного бюджета);                                                                                                                                                                             (-) 20,0 тыс. рублей - уменьшен объем бюджетных ассигнований для оплаты судебной строительно-технической экспертизы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(+) 3 390,0 тыс. рублей – увеличен объем бюджетных ассигнований за счет бюджетных ассигнований резервного фонда Правительства Ханты-Мансийского автономного округа – Югры на поощрение за содействие в проведении выборов (средства бюджета автономного округа)
</t>
  </si>
  <si>
    <t xml:space="preserve">(+) 0,2 тыс. рублей - увеличен объем бюджетных ассигнований на организацию летнего отдыха, оздоровления, занятости детей, подростков и молодежи (благотворительные пожертвования ПАО " СН-МНГ" - остаток неиспользованных средств 2022 года)  (средства местного бюджета);                                                                                                                                                             (+) 2 000,0 тыс. рублей - увеличен объем бюджетных ассигнований на организацию летнего отдыха, оздоровления, занятости детей, подростков и молодежи (средства местного бюджета).    </t>
  </si>
  <si>
    <t>(-) 4 601,4 тыс. рублей - уменьшен объем бюджетных ассигнований для возврата денежных средств по требованию Департамента строительства и жилищно-коммунального комплекса Ханты-Мансийского автономного округа –Югры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1 987,5 тыс. рублей -  уменьшен объем бюджетных ассигнований на содержание и текущий ремонт автомобильных дорог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(-) 775,2 тыс. рублей - уменьшен объем бюджетных ассигнований для оплаты административных штрафов (средства местного бюджета)</t>
  </si>
  <si>
    <t>(-) 1 955,5 тыс. рублей - уменьшен объем бюджетных ассигнований путем внутреннего перераспределения на потребление электроэнергии уличного освещения, приобретение ГСМ,  уплату административных штрафов (средства местного бюджета);                                                                                                           (+) 3 789,0 тыс. рублей - увеличен объем бюджетных ассигнований на содержание и текущий ремонт автомобильных дорог,  проездов, элементов обустройства улично-дорожной сети, объектов внешнего благоустройства (средства местного бюджета) (остаток средств местного бюджета на 01.01.2024)</t>
  </si>
  <si>
    <t>(-) 49,0 тыс. рублей - уменьшен объем бюджетных ассигнований путем внутреннего перераспределения на приобретение серверного оборудования (средства местного бюджета);                                                                                                                                                                                               (-) 224,8 тыс. рублей - уменьшен объем бюджетных ассигнований для оплату административных штрафов (средства местного бюджета)</t>
  </si>
  <si>
    <t>(-) 49,0 тыс. рублей - уменьшен объем бюджетных ассигнований путем внутреннего перераспределения на приобретение серверного оборудования (средства местного бюджета);                                                                                                                                                                                               (-) 224,8 тыс. рублей - уменьшен объем бюджетных ассигнований для оплаты административных штрафов (средства местного бюджета)</t>
  </si>
  <si>
    <t xml:space="preserve">(-) 1 955,5 тыс. рублей - уменьшен объем бюджетных ассигнований путем внутреннего перераспределения на потребление электроэнергии уличного освещения, приобретение ГСМ,  уплату административных штрафов (средства местного бюджета);                                                                                                           (+) 1 801,5 тыс. рублей - увеличен объем бюджетных ассигнований на содержание и текущий ремонт автомобильных дорог,  проездов, элементов обустройства улично-дорожной сети, объектов внешнего благоустройства (средства местного бюджета) (остаток средств местного бюджета на 01.01.2024);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1 987,5 тыс. рублей -  увеличен объем бюджетных ассигнований на содержание и текущий ремонт автомобильных дорог (средства местного бюджета); </t>
  </si>
  <si>
    <t xml:space="preserve">(+) 1 752,9 тыс. рублей - увеличен объем бюджетных ассигнований на природоохранные мероприятия (ликвидация свалок) (остаток средств местного бюджета на 01.01.2024);
(+) 4 200,0 тыс. рублей - увеличен объем бюджетных ассигнований на природоохранные мероприятия (ликвидация свалок) (средства местного бюджета).
</t>
  </si>
  <si>
    <t xml:space="preserve">(-) 7,9 тыс. рублей - уменьшен объем бюджетных ассигнований для возврата денежных средств в бюджет Ханты-Мансийского автономного округа - Югры по требованию Департамента экономического развития Ханты-Мансийского автономного округа - Югры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0,5 тыс. рублей - уменьшен объем бюджетных ассигнований на обеспечение мероприятий по модернизации систем коммунальной инфраструктуры (средства местного бюджета);                                                                                                                                                                                     (-) 345,0 тыс. рублей - уменьшен объем бюджетных ассигнований на оплату исполнительных документов, административного штрафа (средства местного бюджета);                                                                                                                                                                                                                            (-) 163,4 тыс. рублей - уменьшен объем бюджетных ассигнований на заработную плату и начисления на выплаты по оплате труда за исполнение обязанностей заместителя главы города (средства местного бюджета);                                                                                                                                                                             (-) 20,0 тыс. рублей - уменьшен объем бюджетных ассигнований для оплаты судебной строительно-технической экспертизы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(+) 3 390,0 тыс. рублей – увеличен объем бюджетных ассигнований за счет бюджетных ассигнований резервного фонда Правительства ХМАО – Югры, за исключением иных межбюджетных трансфертов на реализацию наказов избирателей депутатам Думы ХМАО-Югры (средства бюджета автономного округа)
</t>
  </si>
  <si>
    <t>Реализация инициативных проектов, отобранных по результатам конкурса</t>
  </si>
  <si>
    <t>(+) 0,1 тыс. рублей – увеличен объем бюджетных ассигнований на реализацию программ формирования современной городской среды (средства бюджета автономного округа)</t>
  </si>
  <si>
    <t>(+) 1 105,0 тыс. рублей - увеличен объем бюджетных ассигнований на приобретение туалетного модуля для объекта "Парк на берегу р. Мега ("МегаПарк") в г. Мегионе", разработку дизайн - проекта для благоустройства набережной от Аллеи трудовой славы до МегаПарка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0,1 тыс. рублей – увеличен объем бюджетных ассигнований на реализацию программ формирования современной городской среды (средства бюджета автономного округа)</t>
  </si>
  <si>
    <t xml:space="preserve">(-) 1 528,2   тыс. рублей -  уменьшен объем бюджетных ассигнований в целях обеспечения доли софинансирования средств, направленных на реализацию инициативного проекта МАОУ СОШ №5 «Гимназия» (средства местного бюджета)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</si>
  <si>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(+) 295,0 тыс. рублей - увеличен объем бюджетных ассигнований путем внутреннего перераспределения на продление программных продуктов и оказание услуг по технической защите информации органов местного самоуправления города Мегиона</t>
  </si>
  <si>
    <t>(+) 68,0 тыс. рублей - увеличен объем бюджетных ассигнований, путем внутреннего перераспределения, на демонтаж уличного экрана расположенного по адресу г.Мегион, ул.Нефтяников д6/1 (здание СК "Олимп")</t>
  </si>
  <si>
    <t>(-) 363,0 тыс. рублей - уменьшен объем бюджетных ассигнований путем внутреннего перераспределения на демонтаж уличного экрана расположенного по адресу г.Мегион, (ул.Нефтяников д6/1 (здание СК "Олимп")),  на продление программных продуктов и оказание услуг по технической защите информации органов местного самоуправления города Мегиона</t>
  </si>
  <si>
    <t xml:space="preserve">(+) 3 985,0 тыс. рублей - увеличен объем бюджетных ассигнований на реализацию инициативного проекта "Центр детских научных инициатив" МАОУ СОШ №5 «Гимназия» (средства бюджета автономного округа;                                                                                                                                                                                (+) 1 528,2   тыс. рублей -  увеличен объем бюджетных ассигнований в целях обеспечения доли софинансирования средств, направленных на реализацию инициативного проекта "Центр детских научных инициатив" МАОУ СОШ №5 «Гимназия»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180,0 тыс. рублей - увеличен объем бюджетных ассигнований  в целях обеспечения доли софинансирования средств, направленных на реализацию инициативного проекта "Центр детских научных инициатив"МАОУ СОШ №5 «Гимназия» (инициативные платежи). </t>
  </si>
  <si>
    <t xml:space="preserve">(+) 5 066,0 тыс. рублей - увеличен объем бюджетных ассигнований на оплату коммунальных услуг по пустующим квартирам за период 01.07.2023-31.12.2023 (средства местного бюджета);                                                                                                                                                                 (+) 8 859,0 тыс. рублей - увеличен объем бюджетных ассигнований на оплату коммунальных услуг по пустующим квартирам за период   январь-октябрь 2024 года  (средства местного бюджета);                                                                                                                                                                                                (+) 1 980,0 тыс. рублей - увеличен объем бюджетных ассигнований на оплату задолженности за оказанные услуги по содержанию общего имущества многоквартирных домов (средства местного бюджета);                                                                                                                                                                                         (-) 9 422,8 тыс. рублей - уменьшен объем бюджетных ассигнований путем внутреннего перераспределения для оплаты исполнительных документов (средства местного бюджета);                                                                                                                                                                                        (-) 19,7 тыс. рублей - уменьшен объем бюджетных ассигнований для обеспечения доли софинансирования на реализацию мероприятий по обеспечению жильем молодых семей (средства местного бюджета);                                                                                                                  (+) 1 741,0 тыс. рублей - увеличен объем бюджетных ассигнований на оплату взносов на капитальный ремонт в Югорский фонд капитального ремонта (средства местного бюджета)                                                                                                               </t>
  </si>
  <si>
    <t xml:space="preserve">(+) 5 066,0 тыс. рублей - увеличен объем бюджетных ассигнований на оплату коммунальных услуг по пустующим квартирам за период июль-декабрь 2023 года (средства местного бюджета);                                                                                                                                                                 (+) 8 859,0 тыс. рублей - увеличен объем бюджетных ассигнований на оплату коммунальных услуг по пустующим квартирам за период   январь-октябрь 2024 года  (средства местного бюджета);                                                                                                                                                                                                (+) 1 980,0 тыс. рублей - увеличен объем бюджетных ассигнований на оплату задолженности за оказанные услуги по содержанию общего имущества многоквартирных домов (средства местного бюджета);                                                                                                                                                                                         (-) 9 422,8 тыс. рублей - уменьшен объем бюджетных ассигнований путем внутреннего перераспределения для оплаты исполнительных документов (средства местного бюджета);                                                                                                                                                                                        (-) 19,7 тыс. рублей - уменьшен объем бюджетных ассигнований для обеспечения доли софинансирования на реализацию мероприятий по обеспечению жильем молодых семей (средства местного бюджета);                                                                                                                  (+) 1 741,0 тыс. рублей - увеличен объем бюджетных ассигнований на оплату взносов на капитальный ремонт в Югорский фонд капитального ремонта (средства местного бюджета)                                                                                                               </t>
  </si>
  <si>
    <r>
      <t xml:space="preserve">(+) 9 767,8 тыс. рублей - увеличен объем бюджетных ассигнований для оплаты исполнительных документов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7,9 тыс. рублей - увеличен объем бюджетных ассигнований в целях возврата денежных средств в бюджет Ханты-Мансийского автономного округа - Югры по требованию Департамента экономического развития Ханты-Мансийского автономного округа - Югры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20,0 тыс. рублей - увеличен объем бюджетных ассигнований для оплаты судебной строительно-технической экспертизы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(+) 4 601,4 тыс. рублей - увеличен объем бюджетных ассигнований для возврата денежных средств по требованию Департамента строительства и жилищно-коммунального комплекса Ханты-Мансийского автономного округа –Югры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50,0 тыс. рублей – увеличен объем бюджетных ассигнований за счет бюджетных ассигнований резервного фонда Правительства Ханты-Мансийского автономного округа – Югры </t>
    </r>
    <r>
      <rPr>
        <sz val="8"/>
        <color rgb="FFFF0000"/>
        <rFont val="Times New Roman"/>
        <family val="1"/>
        <charset val="204"/>
      </rPr>
      <t>на поощрение мобилизационных групп</t>
    </r>
    <r>
      <rPr>
        <sz val="8"/>
        <rFont val="Times New Roman"/>
        <family val="1"/>
        <charset val="204"/>
      </rPr>
      <t xml:space="preserve">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1 505,9 тыс. рублей -  увеличен объем бюджетных ассигнований   на проведение муниципальных выборов (средства местного бюджета)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</si>
  <si>
    <t xml:space="preserve">(+) 9 767,8 тыс. рублей - увеличен объем бюджетных ассигнований для оплаты исполнительных документов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7,9 тыс. рублей - увеличен объем бюджетных ассигнований в целях возврата денежных средств в бюджет Ханты-Мансийского автономного округа - Югры по требованию Департамента экономического развития Ханты-Мансийского автономного округа - Югры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20,0 тыс. рублей - увеличен объем бюджетных ассигнований для оплаты судебной строительно-технической экспертизы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(+) 4 601,4 тыс. рублей - увеличен объем бюджетных ассигнований для возврата денежных средств по требованию Департамента строительства и жилищно-коммунального комплекса Ханты-Мансийского автономного округа –Югры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50,0 тыс. рублей –  увеличен объем бюджетных ассигнований за счет бюджетных ассигнований резервного фонда Правительства ХМАО – Югры, за исключением иных межбюджетных трансфертов на реализацию наказов избирателей депутатам Думы ХМАО-Югры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1 505,9 тыс. рублей -  увеличен объем бюджетных ассигнований   на проведение муниципальных выборов (средства местного бюджета);                                                                                                                                 (-) 1 528,2   тыс. рублей -  уменьшен объем бюджетных ассигнований в целях обеспечения доли софинансирования средств, направленных на реализацию инициативного проекта МАОУ СОШ №5 «Гимназия» (средства местного бюджета)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</si>
  <si>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Решение Думы города Мегиона от 26.04.2024 №380 (утверждённый бюджет)                                                      (тыс. рублей)</t>
  </si>
  <si>
    <t>Основное мероприятие "Обеспечение функционирования сети автомобильных дорог общего пользования города Мегиона"</t>
  </si>
  <si>
    <t>Основное мероприятие "Развитие системы, методического и информационного сопровождения традиционных, муниципальных и региональных мероприятий дошкольного и общего образования"</t>
  </si>
  <si>
    <t>Решение Думы города Мегиона от 19.07.2024 №393 (уточненный бюджет)                                                 (тыс. рублей)</t>
  </si>
  <si>
    <t xml:space="preserve">(-) 72,0 тыс. рублей -  уменьшен объем бюджетных ассигнований путем внутреннего перераспределения на подключения канала связи объекта благоустройство "Парк на берегу р.Мега" ("Мега.Парк") к оборудованию АПК "Безопасный город" (средства местного бюджета)         </t>
  </si>
  <si>
    <t xml:space="preserve">(+) 478,0 тыс. рублей -  увеличен объем бюджетных ассигнований, путем внутреннего перераспределения, в целях заключения договора по предоставлению средств защиты информации с помощью программного обеспечения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10,7 тыс. рублей -  увеличен объем бюджетных ассигнований, путем внутреннего перераспределения, в целях приобретения программного обеспечения (средства местного бюджета) </t>
  </si>
  <si>
    <t>(+) 100,0 тыс. рублей - увеличен объем бюджетных ассигнований за счет перераспределения на реализацию программных мероприятий (средства местного бюджета).</t>
  </si>
  <si>
    <t>(-) 443,7 тыс. рублей - уменьшен объем бюджетных ассигнований путем внутреннего перераспределения в целях заключения муниципального контракта на услуги связи в сумме 20,0 тыс. рублей, на приобретение дозиметра и аспиратора в сумме 23,9 тыс. рублей, средств защиты в сумме 203,3 тыс. рублей, жестких дисков в сумме 196,5 тыс. рублей (средства местного бюджета)</t>
  </si>
  <si>
    <t xml:space="preserve">(-) 175,0 тыс. рублей - уменьшен объем бюджетных ассигнований путем внутреннего перераспределения для заключения муниципального контракта на техническое сопровождение программных продуктов (средства местного бюджета) </t>
  </si>
  <si>
    <t xml:space="preserve">(+) 351,5 тыс. рублей - увеличен объем бюджетных ассигнований за счет дотации на поощрение муниципальных управленческих команд (средства федерального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175,0 тыс. рублей - увеличен объем бюджетных ассигнований путем внутреннего перераспределения для заключения муниципального контракта на техническое сопровождение программных продуктов (средства местного бюджета) </t>
  </si>
  <si>
    <t xml:space="preserve">(-) 1 698,6,0 тыс. рублей -  уменьшен объем бюджетных ассигнований на реализацию полномочий в области градостроительной деятельности (средства бюджета автономного округа)      </t>
  </si>
  <si>
    <t xml:space="preserve">(-) 29,8 тыс. рублей -  уменьшен объем бюджетных ассигнований путем внутреннего перераспределения для оплаты расходов по установке информационных стендов в местах массового пребывания людей (средства местного бюджета)      </t>
  </si>
  <si>
    <t>(-) 10 871,5 тыс. рублей - уменьшен объем бюджетных ассигнований путем внутреннего перераспределения на реализацию инициативного проекта "Организация благоустройства территории в районе дома 2 по улице Строителей в городе Мегионе" в сумме 9 483,0 тыс. рублей, инициативного проекта "Благоустройство территории жилых домов №26, 28 по улице Проспект Победы в городе Мегионе" в сумме 1 388,5 тыс. рублей (средства местного бюджета)</t>
  </si>
  <si>
    <t>Реализация инициативных проектов</t>
  </si>
  <si>
    <t>(+) 9 578,8 тыс. рублей - увеличен объем бюджетных ассигнований на реализацию инициативного проекта "Организация благоустройства территории в районе дома 2 по улице Строителей в городе Мегионе" (средства местного бюджета - 9 483,0 тыс. рублей, средства инициативных платежей - 95,8 тыс. рублей);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1 402,5 тыс. рублей - увеличен объем бюджетных ассигнований на реализацию инициативного проекта "Благоустройство территории жилых домов №26, 28 по улице Проспект Победы в городе Мегионе" (средства местного бюджета - 1 388,5 тыс. рублей, средства инициативных платежей - 14,0 тыс. рублей)</t>
  </si>
  <si>
    <t xml:space="preserve">(-) 7,0 тыс. рублей - уменьшен объем бюджетных ассигнований путем внутреннего перераспределения на приобретение и установку флажков на опорах освещения улично-дорожной сети города (средства местного бюджета)
</t>
  </si>
  <si>
    <t>(-) 9 889,7 тыс. рублей - уменьшен объем бюджетных ассигнований  на  социальную поддержка отдельных категорий обучающихся  (средства бюджета автономного округа).</t>
  </si>
  <si>
    <t>(+) 1 501,0 тыс. рублей - увеличен объем бюджетных ассигнований  на   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(средства бюджета автономного округа).</t>
  </si>
  <si>
    <t>(+) 3 000,0 тыс. рублей - увеличен объем целевых межбюджетных трансфертов на развитие животноводства , переработки и реализации продукции животноводства (в т.ч. администрирование) (средства автономного округа);                                                                                              (+) 782,1 тыс. рублей - увеличен объем целевых межбюджетных трансфертов на оказание финансовой помощи сельскохозяйственным товаропроизводителям, подвергшимся подтоплению в весенне-летний период 2024 года (постановление от 25.09.2024 №352-п) (средства автономного округа)</t>
  </si>
  <si>
    <t>(+) 2 627,6 тыс. рублей - увеличен объем бюджетных ассигнований на организацию и обеспечение отдыха и оздоровления детей, в том числе в этнической среде (средства бюджета автономного округа)</t>
  </si>
  <si>
    <t>(-) 116,5 тыс. рублей - уменьшен объем бюджетных ассигнований целевых межбюджетных трансфертов по реализации мероприятий по содействию трудоустройству граждан (организация временного трудоустройства безработных граждан, испытывающих трудности в поиске работы) (средства бюджета автономного округа)</t>
  </si>
  <si>
    <t xml:space="preserve">(+) 164,0 тыс. рублей - увеличен объем бюджетных ассигнований путем внутреннего перераспределения на приобретение офисной мебели и оргтехники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(+) 500,0 тыс. рублей - увеличен объем бюджетных ассигнований на компенсацию расходов по оплате стоимости проезда и провоза багажа к месту использования отпуска и обратно МКУ "Служба обеспечения" (средства местного бюджета);                                                                                                                   (+) 15 082,4 тыс. рублей - увеличен объем бюджетных ассигнований на обеспечение заработной платой и начислениями на оплату труда за декабрь МКУ "Служба обеспечения" (средства местного бюджета) </t>
  </si>
  <si>
    <t xml:space="preserve">(-) 946,6 тыс. рублей -  уменьшен объем бюджетных ассигнований путем внутреннего перераспределения на исполнение исполнительных документов, оплаты судебных расходов, государственных пошлин (средства местного бюджета);                                                                                                                                           (-) 517,4 тыс. рублей -  уменьшен объем бюджетных ассигнований путем внутреннего перераспределения для оплаты неустойки (пени) начисляемой на сумму основного долга (средства местного бюджета);                                                                                                                              (+) 6 600,0 тыс. рублей - увеличен объем бюджетных ассигнований  на оплату коммунальных платежей МУП "ТВК"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(+) 700,0 тыс. рублей - увеличен объем бюджетных ассигнований на оплату взносов на капитальный ремонт в Югорский фонд капитального ремонта (средства местного бюджета)                                                                                                                                                  </t>
  </si>
  <si>
    <t xml:space="preserve">(+) 2 460,6 тыс. рублей - увеличен объем бюджетных ассигнований за счет дотации на поощрение муниципальных управленческих команд (средства федерального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156,8 тыс. рублей - уменьшен объем бюджетных ассигнований путем внутреннего перераспределения на исполнение исполнительных документов, оплату судебных расходов, государственных пошлин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50,0 тыс. рублей -  уменьшен объем бюджетных ассигнований путем внутреннего перераспределения на оплату административного штрафа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164,0 тыс. рублей - уменьшен объем бюджетных ассигнований путем внутреннего перераспределения  на приобретение офисной мебели и оргтехники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2 000,0 тыс. рублей - увеличен объем бюджетных ассигнований на компенсацию расходов по оплате стоимости проезда и провоза багажа к месту использования отпуска и обратно (средства местного бюджета);                                                                                                                   (+) 747,5 тыс. рублей - увеличен объем бюджетных ассигнований на обеспечение начислениями на оплату труда за декабрь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(+) 299,0 тыс. рублей - увеличен объем бюджетных ассигнований на командировочные расходы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2 226,4 тыс. рублей - увеличен объем бюджетных ассигнований путем внутреннего перераспределения на обеспечение заработной платой и начислениями на оплату труда, на компенсацию расходов по оплате стоимости проезда и провоза багажа к месту использования отпуска и обратно (средства местного бюджета)                               
</t>
  </si>
  <si>
    <t>(+) 3 071,9 тыс. рублей - увеличен объем бюджетных ассигнований на оплату расходов по временной трудозанятости подростков и молодежи (средства местного бюджета)</t>
  </si>
  <si>
    <t xml:space="preserve">(-) 72,0 тыс. рублей -  уменьшен объем бюджетных ассигнований путем внутреннего перераспределения на подключения канала связи объекта благоустройство "Парк на берегу р.Мега" ("Мега.Парк") к оборудованию АПК "Безопасный город" (средства местного бюджета)   </t>
  </si>
  <si>
    <t xml:space="preserve">(+) 100,0 тыс. рублей - увеличен объем бюджетных ассигнований на перевод кнопки тревожной сигнализации на альтернативные каналы на спортивных объектах МАУ ДО "СШ "Вымпел" (средства местного бюджета) ;                                                                                                                                                          (+) 550,0 тыс. рублей - увеличен объем бюджетных ассигнований для  устранения предписаний (клуб "Мустанг") МАУ ДО "СШ "Юность" (средства местного бюджета);                                                                                                                                                                                                       (+) 1 413,0 тыс. рублей - увеличен объем бюджетных ассигнований на выполнение ремонтных работ в здании объектов спорта (средства местного бюджета) </t>
  </si>
  <si>
    <t xml:space="preserve">(+) 29,8 тыс. рублей -  увеличен объем бюджетных ассигнований, путем  перераспределения, в целях оплаты расходов по установке информационных стендов в местах массового пребывания людей (средства местного бюджета);                                                                       (+) 300,0 тыс. рублей -  увеличен объем бюджетных ассигнований на реализацию мероприятий по антитеррористической защищенности мест массового пребывания людей (выполнение проектно-изыскательских работ на установку системы оповещения в местах массового пребывания людей: "Монументальная композиция "Звезда", "Сквер в честь добычи 500-миллионной тонны мегионской нефти", "Мемориал ко дню Победы "Аллея Славы") (средства местного бюджета)   </t>
  </si>
  <si>
    <t xml:space="preserve">(-) 478,0 тыс. рублей -  уменьшен объем бюджетных ассигнований, путем внутреннего перераспределения, в целях заключения договора по предоставлению средств защиты информации с помощью программного обеспечения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361,2 тыс. рублей -  уменьшен объем бюджетных ассигнований, путем внутреннего перераспределения, в целях оплаты компенсации расходов стоимости проезда и провоза багажа к месту использования отпуска и обратно, а также для приобретения программного обеспечения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12,1 тыс. рублей -  уменьшен объем бюджетных ассигнований, путем внутреннего перераспределения, в целях оплаты предварительного медицинского осмотра вновь принятых работников (средства местного бюджета)         </t>
  </si>
  <si>
    <t xml:space="preserve">(+) 350,5 тыс. рублей -  увеличен объем бюджетных ассигнований, путем внутреннего перераспределения, в целях оплаты компенсации расходов стоимости проезда и провоза багажа к месту использования отпуска и обратно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12,1 тыс. рублей -  увеличен объем бюджетных ассигнований, путем внутреннего перераспределения, в целях оплаты предварительного медицинского осмотра вновь принятых работников (средства местного бюджета);                                                                                                                             (+) 461,7 тыс. рублей - увеличен объем бюджетных ассигнований на обеспечение заработной платой и начислениями на оплату труда за декабрь (средства местного бюджета)    </t>
  </si>
  <si>
    <t>(-) 7,0 тыс. рублей - уменьшен объем бюджетных ассигнований путем внутреннего перераспределения на приобретение и установку флажков на опорах освещения улично-дорожной сети города (средства местного бюджета)</t>
  </si>
  <si>
    <t xml:space="preserve">(-) 1 698,6 тыс. рублей -  уменьшен объем бюджетных ассигнований на реализацию полномочий в области градостроительной деятельности (средства бюджета автономного округа)      </t>
  </si>
  <si>
    <t xml:space="preserve">(+) 300,0 тыс. рублей – увеличен объем бюджетных ассигнований за счет бюджетных ассигнований резервного фонда Правительства Ханты-Мансийского автономного округа – Югры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47 962,2 тыс. рублей - увеличен объем бюджетных ассигнований на исполнение исполнительных документов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1 103,4 тыс. рублей - увеличен объем бюджетных ассигнований путем внутреннего перераспределения на исполнение исполнительных документов, оплаты судебных расходов, государственных пошлин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50,0 тыс. рублей -  увеличен объем бюджетных ассигнований на оплату административного штрафа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517,4 тыс. рублей -  увеличен объем бюджетных ассигнований путем на оплату неустойки (пени) начисляемой на сумму основного долга (средства местного бюджета);                                                                                                                                                                                                              (+) 4 500,0 тыс. рублей - увеличен объем бюджетных ассигнований на выплату  дополнительной меры социальной поддержки граждан в городском округе, заключивших контракт о прохождении военной службы в Вооруженных Силах Российской Федерации, направленных для выполнения задач в ходе специальной военной операции в размере 150,0 тыс. рублей (средства местного бюджета)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</si>
  <si>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(-) 361,2 тыс. рублей -  уменьшен объем бюджетных ассигнований, путем внутреннего перераспределения, в целях оплаты компенсации расходов стоимости проезда и провоза багажа к месту использования отпуска и обратно, а также для приобретения программного обеспечения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350,5 тыс. рублей -  увеличен объем бюджетных ассигнований, путем внутреннего перераспределения, в целях оплаты компенсации расходов стоимости проезда и провоза багажа к месту использования отпуска и обратно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461,7 тыс. рублей - увеличен объем бюджетных ассигнований на обеспечение заработной платой и начислениями на оплату труда за декабрь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10,7 тыс. рублей -  увеличен объем бюджетных ассигнований, путем внутреннего перераспределения, в целях приобретения программного обеспечения (средства местного бюджета) </t>
  </si>
  <si>
    <t>(+) 164,0 тыс. рублей - увеличен объем бюджетных ассигнований путем внутреннего перераспределения на приобретение офисной мебели и оргтехники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(+) 500,0 тыс. рублей - увеличен объем бюджетных ассигнований на компенсацию расходов по оплате стоимости проезда и провоза багажа к месту использования отпуска и обратно МКУ "Служба обеспечения" (средства местного бюджета);                                                                                                                   (+) 15 082,4 тыс. рублей - увеличен объем бюджетных ассигнований на обеспечение заработной платой и начислениями на оплату труда за декабрь МКУ "Служба обеспечения"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(+) 48,5 тыс. рублей - увеличен объем бюджетных ассигнований на оплату исполнительных документов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150,0 тыс. рублей - увеличен объем бюджетных ассигнований на оплату административного штрафа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80,8 тыс. рублей - увеличен объем бюджетных ассигнований для заключения муниципального контракта на абонентское обслуживание программного обеспечения, оплаты услуг эксперта по двум судебным определениям, на членские взносы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50,0 тыс. рублей - увеличен объем бюджетных ассигнований на компенсацию расходов по оплате стоимости проезда и провоза багажа к месту использования отпуска и обратно МКУ "Управление капитального строительства и жилищно-коммунального комплекса" 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8 151,2 тыс. рублей - увеличен объем бюджетных ассигнований на обеспечение заработной платой и начислениями на оплату труда за декабрь МКУ "Управление капитального строительства и жилищно-коммунального комплекса"  (средства местного бюджета)</t>
  </si>
  <si>
    <t xml:space="preserve">(+) 1 197,5 тыс. рублей - увеличен объем бюджетных ассигнований на реализацию наказов избирателей депутатам Думы ХМАО-Югры (приобретение топиарных фигур) (средства бюджета автономного округа);                                                                                                                                    (+) 1 761,4 тыс. рублей – увеличен объем бюджетных ассигнований на благоустройство общественной территории «Скейт Парк» в части приобретения оборудования энергетического хозяйства (средства резервного фонда Правительства Тюменской области);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4 088,5 тыс. рублей - уменьшен объем бюджетных ассигнований путем внутреннего перераспределения на снос ветхих строений, домов, гаражей (средства местного бюджета);                                                                                                                                                                                                                        (-) 12,8 тыс. рублей - уменьшен объем бюджетных ассигнований путем внутреннего перераспределения на приобретение и установку флажков на опорах освещения улично-дорожной сети города (средства местного бюджета);                                                                                              (+) 196,6 тыс. рублей - увеличен объем бюджетных ассигнований на благоустройство объекта "Городская площадь пгт.Высокий" (средства местного бюджета) </t>
  </si>
  <si>
    <t xml:space="preserve">(+) 2 460,6 тыс. рублей - увеличен объем бюджетных ассигнований за счет дотации на поощрение муниципальных управленческих команд (средства федерального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156,8 тыс. рублей - уменьшен объем бюджетных ассигнований путем внутреннего перераспределения на исполнение исполнительных документов, оплату судебных расходов, государственных пошлин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50,0 тыс. рублей -  уменьшен объем бюджетных ассигнований путем внутреннего перераспределения на оплату административного штрафа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164,0 тыс. рублей - уменьшен объем бюджетных ассигнований путем внутреннего перераспределения  на приобретение офисной мебели и оргтехники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2 000,0 тыс. рублей - увеличен объем бюджетных ассигнований на компенсацию расходов по оплате стоимости проезда и провоза багажа к месту использования отпуска и обратно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(+) 747,5 тыс. рублей - увеличен объем бюджетных ассигнований на обеспечение начислениями на оплату труда за декабрь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(+) 299,0 тыс. рублей - увеличен объем бюджетных ассигнований на командировочные расходы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2 226,4 тыс. рублей - увеличен объем бюджетных ассигнований путем внутреннего перераспределения на обеспечение заработной платой и начислениями на оплату труда, на компенсацию расходов по оплате стоимости проезда и провоза багажа к месту использования отпуска и обратно (средства местного бюджета)  </t>
  </si>
  <si>
    <t xml:space="preserve">(+) 29,8 тыс. рублей -  увеличен объем бюджетных ассигнований, путем  перераспределения, в целях оплаты расходов по установке информационных стендов в местах массового пребывания людей (средства местного бюджета);                                                                                                                                                                                                                               (+) 300,0 тыс. рублей -  увеличен объем бюджетных ассигнований на реализацию мероприятий по антитеррористической защищенности мест массового пребывания людей (выполнение проектно-изыскательских работ на установку системы оповещения в местах массового пребывания людей: "Монументальная композиция "Звезда", "Сквер в честь добычи 500-миллионной тонны мегионской нефти", "Мемориал ко дню Победы "Аллея Славы") (средства местного бюджета)   </t>
  </si>
  <si>
    <t xml:space="preserve">(+) 72,0 тыс. рублей - увеличен объем бюджетных ассигнований на подключение канала связи объекта благоустройство "Парк на берегу р.Мега" ("Мега.Парк") к оборудованию АПК "Безопасный город" (средства местного бюджета);                                                                                                                                                             (+) 443,7 тыс. рублей - увеличен объем бюджетных ассигнований путем внутреннего перераспределения в целях заключения муниципального контракта на услуги связи в сумме 20,0 тыс. рублей, на приобретение дозиметра и аспиратора в сумме 23,9 тыс. рублей, средств защиты в сумме 203,3 тыс. рублей, жестких дисков в сумме 196,5 тыс. рублей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100,0 тыс. рублей - уменьшен объем бюджетных ассигнований путем внутреннего перераспределения на первоочередные расходы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607,4 тыс. рублей - увеличен объем бюджетных ассигнований на приобретение средств индивидуальной защиты (средства местного бюджета)   </t>
  </si>
  <si>
    <t xml:space="preserve">(+) 72,0 тыс. рублей - увеличен объем бюджетных ассигнований на подключение канала связи объекта благоустройство "Парк на берегу р.Мега" ("Мега.Парк") к оборудованию АПК "Безопасный город" (средства местного бюджета);                                                                                                                                                             (+) 443,7 тыс. рублей - увеличен объем бюджетных ассигнований путем внутреннего перераспределения в целях заключения муниципального контракта на услуги связи в сумме 20,0 тыс. рублей, на приобретение дозиметра и аспиратора в сумме 23,9 тыс. рублей, средств защиты в сумме 203,3 тыс. рублей, жестких дисков в сумме 196,5 тыс. рублей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100,0 тыс. рублей - уменьшен объем бюджетных ассигнований путем внутреннего перераспределения на первоочередные расходы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607,4 тыс. рублей - увеличен объем бюджетных ассигнований на приобретение средств индивидуальной защиты (средства местного бюджета)                                                    </t>
  </si>
  <si>
    <t>Основное мероприятие "Мероприятия по обеспечению комплексной безопасности и комфортных условий в муниципальных спортивных учреждениях. Ремонтные работы спортивных объектов и сооружений"</t>
  </si>
  <si>
    <t xml:space="preserve">(+) 1 021,0 тыс. рублей - увеличен объем бюджетных ассигнований на ремонтные работы помещений административного здания по ул. Советская, 19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3 969,5 тыс. рублей - увеличен объем бюджетных ассигнований на капитальный ремонт здания администрации по ул. Советская, 1 в пгт.Высокий (проектно-сметная документация, комплекс работ по устранению аварийного состояния здания, капитальный ремонт кровли здания)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901,9 тыс. рублей - увеличен объем бюджетных ассигнований на ремонтные работы помещений административного здания по ул. Нефтяников, 8 (средства местного бюджета) 
  </t>
  </si>
  <si>
    <t>(+) 89 267,5 тыс. рублей - увеличен объем целевых межбюджетных трансфертов на реализацию мероприятий за счет бюджетных ассигнований резервного фонда Правительства ХМАО – Югры на финансовое обеспечение непредвиденных расходов, в целях переселения граждан из аварийного многоквартирного дома, распложенного по адресу: г. Мегион, ул. Заречная д.25/1 (средства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85 045,0 тыс. рублей - увеличен объем бюджетных ассигнований в целях обеспечения доли софинансирования для реализации мероприятий по обеспечению устойчивого сокращения непригодного для проживания жилищного фонда (средства бюджета автономного округа – 66171,5 тыс. рублей, средства публично-правовой компании "Фонд развития территорий» - 12919,5 тыс. рублей, средства местного бюджета - 5954,0 тыс. рублей)</t>
  </si>
  <si>
    <t>(+) 89 267,5 тыс. рублей - увеличен объем целевых межбюджетных трансфертов на реализацию мероприятий за счет бюджетных ассигнований резервного фонда Правительства ХМАО – Югры на финансовое обеспечение непредвиденных расходов, в целях переселения граждан из аварийного многоквартирного дома, распложенного по адресу: г. Мегион, ул. Заречная д.25/1 (средства автономного округа)</t>
  </si>
  <si>
    <t>(+) 773,0 тыс. рублей - увеличен объем бюджетных ассигнований на потребление электроэнергии уличного освещения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1 105,0 тыс. рублей - уменьшен объем бюджетных ассигнований путем внутреннего перераспределения на приобретение туалетного модуля для объекта "Парк на берегу р. Мега ("МегаПарк") в г. Мегионе", разработку дизайн - проекта для благоустройства набережной от Аллеи трудовой славы до МегаПарка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35,0 тыс. рублей - уменьшен объем бюджетных ассигнований путем внутреннего перераспределения на приобретение серверного оборудования (средства местного бюджета);                                                                                                                                                                                                                      (+) 1 650,0 тыс. рублей - увеличен объем бюджетных ассигнований на природоохранные мероприятия (уход за газонами, закупка, посадка и уход за цветниками, противопожарное обустройство лесов вокруг города Мегиона) (остаток средств местного бюджета на 01.01.2024)</t>
  </si>
  <si>
    <t>(+) 772,9 тыс. рублей - увеличен объем бюджетных ассигнований на потребление электроэнергии уличного освещения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(+) 1 200,0 тыс. рублей - увеличен объем бюджетных ассигнований на оказание услуг по погребению умерших (копка могил)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(-) 1 105,0 тыс. рублей - уменьшен объем бюджетных ассигнований путем внутреннего перераспределения на приобретение туалетного модуля для объекта "Парк на берегу р. Мега ("МегаПарк") в г. Мегионе", разработку дизайн - проекта для благоустройства набережной от Аллеи трудовой славы до МегаПарка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35,0 тыс. рублей - уменьшен объем бюджетных ассигнований путем внутреннего перераспределения на приобретение серверного оборудования (средства местного бюджета);                                                                                                                                                                                                                      (+) 1 650,0 тыс. рублей - увеличен объем бюджетных ассигнований на природоохранные мероприятия (уход за газонами, закупка, посадка и уход за цветниками, противопожарное обустройство лесов вокруг города Мегиона) (остаток средств местного бюджета на 01.01.2024)</t>
  </si>
  <si>
    <t>(+) 77 305,6 тыс. рублей - увеличен объем целевых межбюджетных трансфертов на реализацию мероприятий за счет бюджетных ассигнований резервного фонда Правительства ХМАО – Югры на финансовое обеспечение непредвиденных расходов, в целях оплаты задолженности организаций коммунального комплекса за потребленный газ (средства автономного округа)</t>
  </si>
  <si>
    <t>Основное мероприятие "Правовое просвещение и информирование в сфере защиты прав потребителей"</t>
  </si>
  <si>
    <t xml:space="preserve">(-) 465,8 тыс. рублей - уменьшен объем бюджетных ассигнований путем внутреннего перераспределения для размещения муниципального заказа на выполнение работ по объекту "Ремонт и содержание площадей и скверов"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31,9 тыс. рублей -  уменьшен объем бюджетных ассигнований путем внутреннего перераспределения на оплату услуг эксперта по судебным определениям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(+) 250,0 тыс. рублей -  увеличен объем бюджетных ассигнований на природоохранные мероприятия (ликвидация свалок)  (средства местного бюджета)  </t>
  </si>
  <si>
    <t>(+) 48,5 тыс. рублей - увеличен объем бюджетных ассигнований на оплату исполнительных документов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150,0 тыс. рублей - увеличен объем бюджетных ассигнований на оплату административного штрафа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80,8 тыс. рублей - увеличен объем бюджетных ассигнований для заключения муниципального контракта на абонентское обслуживание программного обеспечения, оплаты услуг эксперта по двум судебным определениям, на членские взносы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50,0 тыс. рублей - увеличен объем бюджетных ассигнований на компенсацию расходов по оплате стоимости проезда и провоза багажа к месту использования отпуска и обратно МКУ "Управление капитального строительства и жилищно-коммунального комплекса" 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8 151,2 тыс. рублей - увеличен объем бюджетных ассигнований на обеспечение заработной платой и начислениями на оплату труда за декабрь МКУ "Управление капитального строительства и жилищно-коммунального комплекса"  (средства местного бюджета)</t>
  </si>
  <si>
    <t>(-) 31,4 тыс. рублей - уменьшен объем бюджетных ассигнований  за счет перераспределения на реализацию программных мероприятий (средства местного бюджета).</t>
  </si>
  <si>
    <t xml:space="preserve">(+) 158,2 тыс. рублей - увеличен объем бюджетных ассигнований за счет дотации на поощрение муниципальных управленческих команд (средства федерального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300,0 тыс. рублей – увеличен объем бюджетных ассигнований за счет бюджетных ассигнований резервного фонда Правительства Ханты-Мансийского автономного округа – Югры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47 962,2 тыс. рублей - увеличен объем бюджетных ассигнований на исполнение исполнительных документов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1 103,4 тыс. рублей - увеличен объем бюджетных ассигнований путем внутреннего перераспределения на исполнение исполнительных документов, оплаты судебных расходов, государственных пошлин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50,0 тыс. рублей -  увеличен объем бюджетных ассигнований на оплату административного штрафа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517,4 тыс. рублей -  увеличен объем бюджетных ассигнований путем на оплату неустойки (пени) начисляемой на сумму основного долга (средства местного бюджета);                                                                                                                                                                                                              (+) 4 500,0 тыс. рублей - увеличен объем бюджетных ассигнований на выплату  дополнительной меры социальной поддержки граждан в городском округе, заключивших контракт о прохождении военной службы в Вооруженных Силах Российской Федерации, направленных для выполнения задач в ходе специальной военной операции в размере 150,0 тыс. рублей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10 871,5 тыс. рублей - уменьшен объем бюджетных ассигнований путем внутреннего перераспределения на реализацию инициативного проекта "Организация благоустройства территории в районе дома 2 по улице Строителей в городе Мегионе" в сумме 9 483,0 тыс. рублей, инициативного проекта "Благоустройство территории жилых домов №26, 28 по улице Проспект Победы в городе Мегионе" в сумме 1 388,5 тыс. рублей (средства местного бюджета);                                                                                                                                                (-) 116,5 тыс. рублей - уменьшен объем бюджетных ассигнований целевых межбюджетных трансфертов по реализации мероприятий по содействию трудоустройству граждан (организация временного трудоустройства безработных граждан, испытывающих трудности в поиске работы)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2 981,9 тыс. рублей - уменьшен объем бюджетных ассигнований путем внутреннего перераспределения на первоочередные расходы (средства местного бюджета)                                                              </t>
  </si>
  <si>
    <t>(+) 70,3 тыс. рублей - увеличен объем бюджетных ассигнований за счет дотации на поощрение муниципальных управленческих команд (средства федерального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1 331,9 тыс. рублей - уменьшен объем бюджетных ассигнований путем внутреннего перераспределения на первоочередные расходы (средства местного бюджета)</t>
  </si>
  <si>
    <t>(+) 87,9 тыс. рублей - увеличен объем бюджетных ассигнований за счет дотации на поощрение муниципальных управленческих команд (средства федерального бюджета);                                                                                                                                                                                                                                 (-) 1 650,0 тыс. рублей - уменьшен объем бюджетных ассигнований путем внутреннего перераспределения на первоочередные расходы (средства местного бюджета)</t>
  </si>
  <si>
    <t>Основное мероприятие "Поддержка рыбохозяйственного комплекса"</t>
  </si>
  <si>
    <t>(-) 3 000,0 тыс. рублей - уменьшен объем целевых межбюджетных трансфертов на развитие рыбохозяйственного комплекса (в т.ч. администрирование) (средства автономного округа);                                                                                                                                                   (-) 5 493,9 тыс. рублей - уменьшен объем бюджетных ассигнований на поддержку сельскохозяйственного производства и деятельности по заготовке и переработке и переработке дикоросов (средства автономного округа)</t>
  </si>
  <si>
    <t xml:space="preserve">    </t>
  </si>
  <si>
    <t xml:space="preserve">(-) 29,8 тыс. рублей -  уменьшен объем бюджетных ассигнований, путем  перераспределения, в целях оплаты расходов по установке информационных стендов в местах массового пребывания людей (средства местного бюджета)  </t>
  </si>
  <si>
    <t xml:space="preserve">
</t>
  </si>
  <si>
    <t>Основное мероприятие "Предоставление субсидии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собственность"</t>
  </si>
  <si>
    <t>(+) 81 361,2 тыс. рублей – увеличен объем бюджетных ассигнований на реализацию полномочий в области строительства и жилищных отношений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(+) 6 124,0 тыс. рублей – увеличен объем бюджетных ассигнований на обеспечение доли софинансирования для реализации полномочий в области строительства и жилищных отношений (средства местного бюджета)</t>
  </si>
  <si>
    <t>(+) 1 884,1 тыс. рублей – увеличен объем бюджетных ассигнований на реализацию полномочий в области строительства и жилищных отношений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(+)141,8 тыс. рублей – увеличен объем бюджетных ассигнований на обеспечение доли софинансирования для реализации полномочий в области строительства и жилищных отношений (средства местного бюджета)</t>
  </si>
  <si>
    <t xml:space="preserve">(-) 0,1 тыс. рублей - уменьшен объем бюджетных ассигнований путем  перераспределения денежных средств между учреждениями (средства местного бюджета);   </t>
  </si>
  <si>
    <t xml:space="preserve">(-) 0,1 тыс. рублей - увеличен объем бюджетных ассигнований путем  перераспределения денежных средств между учреждениями (средства местного бюджета);  </t>
  </si>
  <si>
    <t xml:space="preserve">(-) 11 008,0 тыс. рублей - уменьшен объем бюджетных ассигнований на установку ливневой канализации по ул.Нефтеразведочная на пересечении улиц Советская - Львовская в г.Мегион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590,0 тыс. рублей - увеличен объем бюджетных ассигнований на содержание и текущий ремонт автомобильных дорог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3 969,5 тыс. рублей - уменьшен объем бюджетных ассигнований путем внутреннего перераспределения на капитальный ремонт здания администрации по ул.Советская, 1 в пгт.Высокий (проектно-сметная документация, комплекс работ по устранению аварийного состояния здания, капитальный ремонт кровли здания)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901,9 тыс. рублей - уменьшен объем бюджетных ассигнований путем внутреннего перераспределения на ремонтные работы помещений административного здания по ул.Нефтяников, 8 (средства местного бюджета);                                                                                                    (-) 2 326,3 тыс. рублей - уменьшен объем бюджетных ассигнований путем внутреннего перераспределения на снос ветхих строений, домов, гаражей (средства местного бюджета);                                                                                                                                                                                             (-) 15 000,0 тыс. рублей -  уменьшен объем бюджетных ассигнований путем внутреннего перераспределения на подготовку объектов к новогодним мероприятиям (средства местного бюджета)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</si>
  <si>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(-) 527,0 тыс. рублей - уменьшен объем бюджетных ассигнований путем внутреннего перераспределения на оказание услуг по погребению умерших (копка могил) (средства местного бюджета);                                                                                                                                                   (+) 2 711,3 тыс. рублей - увеличен объем бюджетных ассигнований путем внутреннего перераспределения на  строительство городского кладбища (средства местного бюджета);               
     </t>
  </si>
  <si>
    <t>(+) 600,0 тыс. рублей - увеличен объем бюджетных ассигнований на ремонт дворовых территории жилых домов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(-) 196,6 тыс. рублей - уменьшен объем бюджетных ассигнований путем внутреннего перераспределения на благоустройство объекта "Городская площадь пгт.Высокий" (средства местного бюджета);                                                                                                                                               (-) 945,9 тыс. рублей - уменьшен объем бюджетных ассигнований путем внутреннего перераспределения на ремонт и содержание скверов,  ремонт жилищного фонда (средства местного бюджета)</t>
  </si>
  <si>
    <t>(+) 600,0 тыс. рублей - увеличен объем бюджетных ассигнований на ремонт дворовых территории жилых домов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(-) 196,6 тыс. рублей - уменьшен объем бюджетных ассигнований путем внутреннего перераспределения на благоустройство объекта "Городская площадь пгт.Высокий"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9 578,8 тыс. рублей - увеличен объем бюджетных ассигнований на реализацию инициативного проекта "Организация благоустройства территории в районе дома 2 по улице Строителей в городе Мегионе" (средства местного бюджета - 9 483,0 тыс. рублей, средства инициативных платежей - 95,8 тыс. рублей);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1 402,5 тыс. рублей - увеличен объем бюджетных ассигнований на реализацию инициативного проекта "Благоустройство территории жилых домов №26, 28 по улице Проспект Победы в городе Мегионе" (средства местного бюджета - 1 388,5 тыс. рублей, средства инициативных платежей - 14,0 тыс. рублей);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945,9 тыс. рублей - уменьшен объем бюджетных ассигнований путем внутреннего перераспределения на ремонт и содержание скверов,  ремонт жилищного фонда (средства местного бюджета)</t>
  </si>
  <si>
    <t>(-) 93,8тыс. рублей - уменьшен объем бюджетных ассигнований путем внутреннего перераспределения на приобретение и установку флажков на опорах освещения улично-дорожной сети города (средства местного бюджета)</t>
  </si>
  <si>
    <t>(-) 93,8 тыс. рублей - уменьшен объем бюджетных ассигнований путем внутреннего перераспределения на приобретение и установку флажков на опорах освещения улично-дорожной сети города (средства местного бюджета)</t>
  </si>
  <si>
    <t>(+) 151,2  тыс. рублей - увеличен объем бюджетных ассигнований путем внутреннего перераспределения на проведение ремонта жилищного фонда (средства местного бюджета)</t>
  </si>
  <si>
    <t xml:space="preserve">(-) 946,6 тыс. рублей -  уменьшен объем бюджетных ассигнований путем внутреннего перераспределения на исполнение исполнительных документов, оплаты судебных расходов, государственных пошлин (средства местного бюджета);                                                                                                                                           (-) 517,4 тыс. рублей -  уменьшен объем бюджетных ассигнований путем внутреннего перераспределения для оплаты неустойки (пени) начисляемой на сумму основного долга (средства местного бюджета);                                                                                                                                                                                                     (+) 6 600,0 тыс. рублей - увеличен объем бюджетных ассигнований  на оплату коммунальных платежей МУП "ТВК"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(+) 700,0 тыс. рублей - увеличен объем бюджетных ассигнований на оплату взносов на капитальный ремонт в Югорский фонд капитального ремонта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1 021,0 тыс. рублей - увеличен объем бюджетных ассигнований на ремонтные работы помещений административного здания по ул. Советская, 19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3 969,5 тыс. рублей - увеличен объем бюджетных ассигнований на капитальный ремонт здания администрации по ул. Советская, 1 в пгт.Высокий (проектно-сметная документация, комплекс работ по устранению аварийного состояния здания, капитальный ремонт кровли здания)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901,9 тыс. рублей - увеличен объем бюджетных ассигнований на ремонтные работы помещений административного здания по ул. Нефтяников, 8 (средства местного бюджета)  </t>
  </si>
  <si>
    <t xml:space="preserve">(+) 11 008,0 тыс. рублей - увеличен объем бюджетных ассигнований на установку ливневой канализации по ул.Нефтеразведочная на пересечении улиц Советская - Львовская в г.Мегион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1 021,0 тыс. рублей - уменьшен объем бюджетных ассигнований путем внутреннего перераспределения на ремонтные работы помещений административного здания по ул.Советская, 19 (средства местного бюджета);                                                                                                                                                                                                    (-) 140,0 тыс. рублей - уменьшен объем бюджетных ассигнований путем внутреннего перераспределения  на выполнение электромонтажных работ по диагностики и ремонту стелы на кольце при въезде в город (средства местного бюджета);                                                                                                                                                                                           (-) 1 284,2 тыс. рублей - уменьшен объем бюджетных ассигнований путем внутреннего перераспределения  на ремонт и содержание площадей и скверов (средства местного бюджета);                                                                                                                                                                                                                      (-) 600,0 тыс. рублей - уменьшен объем бюджетных ассигнований путем внутреннего перераспределения  на ремонт дворовых территории жилых домов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590,0 тыс. рублей - уменьшен объем бюджетных ассигнований путем внутреннего перераспределения на содержание и текущий ремонт автомобильных дорог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(-) 59,6 тыс. рублей - уменьшен объем бюджетных ассигнований путем внутреннего перераспределения на приобретение и установку флажков на опорах освещения улично-дорожной сети города (средства местного бюджета);                                                                                                                                                                    (-) 3 157,4 тыс. рублей -  уменьшен объем бюджетных ассигнований путем внутреннего перераспределения на  строительство городского кладбища и услуги по погребению умерших (копка могил) (средства местного бюджета);               
     </t>
  </si>
  <si>
    <t xml:space="preserve">(-) 11 008,0 тыс. рублей - уменьшен объем бюджетных ассигнований на установку ливневой канализации по ул.Нефтеразведочная на пересечении улиц Советская - Львовская в г.Мегион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590,0 тыс. рублей - увеличен объем бюджетных ассигнований на содержание и текущий ремонт автомобильных дорог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3 969,5 тыс. рублей - уменьшен объем бюджетных ассигнований путем внутреннего перераспределения на капитальный ремонт здания администрации по ул.Советская, 1 в пгт.Высокий (проектно-сметная документация, комплекс работ по устранению аварийного состояния здания, капитальный ремонт кровли здания)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901,9 тыс. рублей - уменьшен объем бюджетных ассигнований путем внутреннего перераспределения на ремонтные работы помещений административного здания по ул.Нефтяников, 8 (средства местного бюджета);                                                                                                                                                                                    (-) 2 326,3 тыс. рублей - уменьшен объем бюджетных ассигнований путем внутреннего перераспределения на снос ветхих строений, домов, гаражей (средства местного бюджета);                                                                                                                                                                                                     (-) 15 000,0 тыс. рублей -  уменьшен объем бюджетных ассигнований путем внутреннего перераспределения на подготовку объектов к новогодним мероприятиям (средства местного бюджета)      </t>
  </si>
  <si>
    <t xml:space="preserve">(+) 465,8 тыс. рублей - увеличен объем бюджетных ассигнований  для размещения муниципального заказа на выполнение работ по объекту "Ремонт и содержание площадей и скверов" (средства местного бюджета);                                                                                                                                                                                                                        (+) 179,4 тыс. рублей - увеличен объем бюджетных ассигнований на приобретение и установку флажков на опорах освещения улично-дорожной сети города (средства местного бюджета);
(+) 1 284,2 тыс. рублей - увеличен объем бюджетных ассигнований на ремонт и содержание площадей и скверов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6 414,8 тыс. рублей - увеличен объем бюджетных ассигнований на снос ветхих строений, домов, гаражей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527,0 тыс. рублей - увеличен объем бюджетных ассигнований на оказание услуг по погребению умерших (копка могил)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(-) 48,5 тыс. рублей - уменьшен объем бюджетных ассигнований путем внутреннего перераспределения для оплаты исполнительных документов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150,0 тыс. рублей - уменьшен объем бюджетных ассигнований путем внутреннего перераспределения на оплату административного штрафа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48,9 тыс. рублей - уменьшен объем бюджетных ассигнований путем внутреннего перераспределения на заключение муниципального контракта на абонентское обслуживание программного обеспечения, оплаты услуг эксперта по двум судебным определениям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140,0 тыс. рублей - увеличен объем бюджетных ассигнований на выполнение электромонтажных работ по диагностики и ремонту стелы на кольце при въезде в город (средства местного бюджета);                                                                                                                                                                                                                              (-) 527,0 тыс. рублей - уменьшен объем бюджетных ассигнований путем внутреннего перераспределения на оказание услуг по погребению умерших (копка могил) (средства местного бюджета);                                                                                                                                                                                                                (+) 3 157,4 тыс. рублей - увеличен объем бюджетных ассигнований путем внутреннего перераспределения на  строительство городского кладбища и услуги по погребению умерших (копка могил) (средства местного бюджета);                                                                                                                                                                                                                (+) 15 000,0 тыс. рублей -  увеличен объем бюджетных ассигнований путем внутреннего перераспределения на подготовку объектов к новогодним мероприятиям (средства местного бюджета);                                                                                                                                                                    (+) 815,5 тыс. рублей -  увеличен объем бюджетных ассигнований путем внутреннего перераспределения на ремонт и содержание скверов (средства местного бюджета);                                                                                                                                                                                                     (-) 27,0 тыс. рублей -  уменьшен объем бюджетных ассигнований путем внутреннего перераспределения на проведение ремонта жилищного фонда (средства местного бюджета);                  
     </t>
  </si>
  <si>
    <t xml:space="preserve">(+) 1 197,5 тыс. рублей - увеличен объем бюджетных ассигнований на реализацию наказов избирателей депутатам Думы ХМАО-Югры (приобретение топиарных фигур) (средства бюджета автономного округа);                                                                                                                                                                                              (+) 1 761,4 тыс. рублей – увеличен объем бюджетных ассигнований на благоустройство общественной территории «Скейт Парк» в части приобретения оборудования энергетического хозяйства (средства резервного фонда Правительства Тюменской области);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4 088,5 тыс. рублей - уменьшен объем бюджетных ассигнований путем внутреннего перераспределения на снос ветхих строений, домов, гаражей (средства местного бюджета);                                                                                                                                                                                                                        (-) 12,8 тыс. рублей - уменьшен объем бюджетных ассигнований путем внутреннего перераспределения на приобретение и установку флажков на опорах освещения улично-дорожной сети города (средства местного бюджета);                                                                                                                                             (+) 196,6 тыс. рублей - увеличен объем бюджетных ассигнований на благоустройство объекта "Городская площадь пгт.Высокий" (средства местного бюджета) </t>
  </si>
  <si>
    <t>(+) 1 432,4 тыс. рублей - увеличен объем бюджетных ассигнований  на обеспечение заработной платой и начислениями на оплату труда за декабрь (средства местного бюджета); (-) 10,3 тыс. рублей - уменьшен объем бюджетных ассигнований за счет перераспределения на реализацию программных мероприятий (средства местного бюджета)</t>
  </si>
  <si>
    <t xml:space="preserve">(+) 386,7 тыс. рублей - увеличен объем бюджетных ассигнований за счет дотации на поощрение муниципальных управленческих команд (средства федерального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30,0 тыс. рублей - увеличен объем бюджетных ассигнований за счет перераспределения на командировочные расходы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(+) 103,1 тыс. рублей - увеличен объем бюджетных ассигнований на компенсацию расходов по оплате стоимости проезда и провоза багажа к месту использования отпуска и обратно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865,8 тыс. рублей - увеличен объем бюджетных ассигнований путем внутреннего перераспределения на обеспечение заработной платой и начислениями на оплату труда, на компенсацию расходов по оплате стоимости проезда и провоза багажа к месту использования отпуска и обратно (средства местного бюджета)   </t>
  </si>
  <si>
    <t xml:space="preserve">(+) 30 336,7 тыс. рублей - увеличен объем бюджетных ассигнований на ежемесячное денежное вознаграждение за классное руководство педагогическим работникам муниципальных общеобразовательных организаций (средства федерального бюджета);                                                                                (+) 208,3 тыс. рублей - увеличен объем бюджетных ассигнований на ежемесячное денежное вознаграждение советникам директоров (средства федерального бюджета);                                                                                                                   (+) 290,4 тыс. рублей - увеличен объем бюджетных ассигнований на реализацию наказов избирателей депутатам Думы ХМАО-Югры (оказание финансовой помощи на ремонт музыкального зала МАОУ "Детский сад № 12 "Росинка"), (средства бюджета автономного округа);                                                                                                                                                         (-) 8 110,7 тыс. рублей - уменьшен объем бюджетных ассигнований за счет перераспределения на реализацию программных мероприятий (средства местного бюджета);                                                                                                                                                                     (+) 4 443,9 тыс. рублей - увеличен объем бюджетных ассигнований на обеспечение государственных гарантий на получение образования и осуществление переданных органам местного самоуправления отдельных государственных полномочий в области образования (средства бюджета автономного округа);                                                                                            (+) 30 035,1 тыс. рублей - увеличен объем бюджетных ассигнований на оплату труда работников муниципальных общеобразовательных организаций и образовательных организаций дошкольного образования, не участвующих в реализации основных общеобразовательных программ в соответствии с федеральными государственными образовательными стандартами  (средства местного бюджета);                                                                                                                                                                               (+) 6 070,2 тыс. рублей - увеличен объем бюджетных ассигнований  на компенсацию расходов по оплате стоимости проезда и провоза багажа к месту использования отпуска и обратно (средства местного бюджета);                                                                                                                (-) 403,5 тыс. рублей - уменьшен объем бюджетных ассигнований за счет перераспределения на реализацию программных мероприятий (средства местного бюджета)                                                                                                 </t>
  </si>
  <si>
    <t xml:space="preserve">(+) 7 761,6 тыс. рублей - увеличен объем бюджетных ассигнований за счет перераспределения на реализацию программных мероприятий (средства местного бюджета); (+) 370,5 тыс. рублей - увеличен объем бюджетных ассигнований за счет перераспределения на реализацию программных мероприятий (средства местного бюджета)  </t>
  </si>
  <si>
    <r>
      <t xml:space="preserve">(+) 30 336,7 тыс. рублей - увеличен объем бюджетных ассигнований на ежемесячное денежное вознаграждение за классное руководство педагогическим работникам муниципальных общеобразовательных организаций (средства федерального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208,3 тыс. рублей - увеличен объем бюджетных ассигнований на ежемесячное денежное вознаграждение советникам директоров (средства федерального бюджета);                                                                                                                                                                                                                                                  (+) 290,4 тыс. рублей - увеличен объем бюджетных ассигнований на реализацию наказов избирателей депутатам Думы ХМАО-Югры (оказание финансовой помощи на ремонт музыкального зала МАОУ "Детский сад № 12 "Росинка"),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7 980,7 тыс. рублей - уменьшен объем бюджетных ассигнований за счет перераспределения на реализацию программных мероприятий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7.5"/>
        <color theme="1"/>
        <rFont val="Times New Roman"/>
        <family val="1"/>
        <charset val="204"/>
      </rPr>
      <t xml:space="preserve">(+) 386,7 тыс. рублей - увеличен объем бюджетных ассигнований за счет дотации на поощрение муниципальных управленческих команд (средства федерального бюджета);                                                                                                                                                                                          (+) 2 627,6 тыс. рублей - увеличен объем бюджетных ассигнований на организацию и обеспечение отдыха и оздоровления детей, в том числе в этнической среде (средства бюджета автономного округа);                                                                                                                                                                                            (+) 4 443,9 тыс. рублей - увеличен объем бюджетных ассигнований на обеспечение государственных гарантий на получение образования и осуществление переданных органам местного самоуправления отдельных государственных полномочий в области образования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1 501,0 тыс. рублей - увеличен объем бюджетных ассигнований  на   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9 889,7 тыс. рублей - уменьшен объем бюджетных ассигнований  на  социальную поддержку отдельных категорий обучающихся 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(+) 1 432,4 тыс. рублей - увеличен объем бюджетных ассигнований  на обеспечение заработной платой и начислениями на оплату труда за декабрь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6 173,3 тыс. рублей - увеличен объем бюджетных ассигнований на компенсацию расходов по оплате стоимости проезда и провоза багажа к месту использования отпуска и обратно (средства местного бюджета);                                                                                                                                                                                      (+) 30 035,1 тыс. рублей - увеличен объем бюджетных ассигнований на оплату труда работников муниципальных общеобразовательных организаций и образовательных организаций дошкольного образования, не участвующих в реализации основных общеобразовательных программ в соответствии с федеральными государственными образовательными стандартами 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855,5 тыс. рублей - увеличен объем бюджетных ассигнований путем внутреннего перераспределения на обеспечение заработной платой и начислениями на оплату труда, на компенсацию расходов по оплате стоимости проезда и провоза багажа к месту использования отпуска и обратно (средства местного бюджета);                                                                                                                                                                             (-) 403,5 тыс. рублей - уменьшен объем бюджетных ассигнований за счет перераспределения на реализацию программных мероприятий (средства местного бюджета)       </t>
    </r>
  </si>
  <si>
    <t xml:space="preserve">(+) 7 980,7 тыс. рублей - увеличен объем бюджетных ассигнований за счет перераспределения на реализацию программных мероприятий (средства местного бюджета);                                                                                                                                                                                   (+) 17 529,1 тыс. рублей - увеличен объем бюджетных ассигнований на выполнение мероприятий, по выявленным недостаткам в ходе проведения внепланового обследования состояния антитеррористической защищенности объектов (территорий) образовательных организаций (модернизация систем видеонаблюдения и дальнейшая интеграция в АПК "Безопасный город") (средства местного бюджета);                                                                                                  (+) 403,5 тыс. рублей - увеличен объем бюджетных ассигнований за счет перераспределения на реализацию программных мероприятий (средства местного бюджета)  </t>
  </si>
  <si>
    <t xml:space="preserve">(+) 465,8 тыс. рублей - увеличен объем бюджетных ассигнований  для размещения муниципального заказа на выполнение работ по объекту "Ремонт и содержание площадей и скверов" (средства местного бюджета);                                                                                                                              (+) 179,4 тыс. рублей - увеличен объем бюджетных ассигнований на приобретение и установку флажков на опорах освещения улично-дорожной сети города (средства местного бюджета);
(+) 1 284,2 тыс. рублей - увеличен объем бюджетных ассигнований на ремонт и содержание площадей и скверов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6 414,8 тыс. рублей - увеличен объем бюджетных ассигнований на снос ветхих строений, домов, гаражей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527,0 тыс. рублей - увеличен объем бюджетных ассигнований на оказание услуг по погребению умерших (копка могил)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(-) 48,5 тыс. рублей - уменьшен объем бюджетных ассигнований путем внутреннего перераспределения для оплаты исполнительных документов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150,0 тыс. рублей - уменьшен объем бюджетных ассигнований путем внутреннего перераспределения на оплату административного штрафа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48,9 тыс. рублей - уменьшен объем бюджетных ассигнований путем внутреннего перераспределения на заключение муниципального контракта на абонентское обслуживание программного обеспечения, оплаты услуг эксперта по двум судебным определениям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140,0 тыс. рублей - увеличен объем бюджетных ассигнований на выполнение электромонтажных работ по диагностики и ремонту стелы на кольце при въезде в город (средства местного бюджета)                                                                                                                                                                            (+) 446,1 тыс. рублей - увеличен объем бюджетных ассигнований путем внутреннего перераспределения на  услуги по погребению умерших (копка могил) (средства местного бюджета);                                                                                                                                                                                      (+) 15 000,0 тыс. рублей -  увеличен объем бюджетных ассигнований путем внутреннего перераспределения на подготовку объектов к новогодним мероприятиям (средства местного бюджета);                                                                                                                                                (+) 815,5 тыс. рублей -  увеличен объем бюджетных ассигнований путем внутреннего перераспределения на ремонт и содержание скверов (средства местного бюджета);                                                                                                                                                                                                         (-) 27,0 тыс. рублей -  уменьшен объем бюджетных ассигнований путем внутреннего перераспределения на проведение ремонта жилищного фонда (средства местного бюджета);                   
     </t>
  </si>
  <si>
    <t>Решение Думы города Мегиона от 25.10.2024 №414 (уточненный бюджет)                                                 (тыс. рублей)</t>
  </si>
  <si>
    <t>(-) 47,8 тыс. рублей - уменьшен объем бюджетных ассигнований путем внутреннего перераспределения на первоочередные расходы (средства местного бюджета)</t>
  </si>
  <si>
    <t>(-) 127,8 тыс. рублей - уменьшен объем бюджетных ассигнований путем внутреннего перераспределения на первоочередные расходы (средства местного бюджета)</t>
  </si>
  <si>
    <t>(-) 3,5 тыс. рублей - уменьшен объем бюджетных ассигнований путем внутреннего перераспределения на приобретение основных средств (средства местного бюджета)</t>
  </si>
  <si>
    <t>(-) 600,0 тыс. рублей - уменьшен объем бюджетных ассигнований на ликвидацию эпизоотического очага бешенства (средства местного бюджета)</t>
  </si>
  <si>
    <t>(-) 2 207,5 тыс. рублей - уменьшен объем бюджетных ассигнований, в связи со сложившейся экономией по программным мероприятиям и направленных на выполнение работ по ремонту тротуара к остановке мкр. «Новый» в г. Мегионе , на выполнение работ по обвалованию, восстановлению насыпи автомобильной дороги по ул. Озерная в г. Мегионе, на монтаж металлического барьерного ограждения на тротуаре вдоль р. Сайма в г. Мегионе, на устройство покрытия проезда по ул. Сосновая в пгт. Высокий,  на установку светильников сетей уличного освещения в г. Мегионе (средства местного бюджета)</t>
  </si>
  <si>
    <t>(+) 12,1 тыс. рублей - увеличен объем бюджетных ассигнований путем перераспределения на реализацию мероприятий по содействию трудоустройству граждан (реализация мероприятий по организации проведения оплачиваемых общественных работ) (средства бюджета автономного округа)</t>
  </si>
  <si>
    <t xml:space="preserve">(-) 1 187,8 тыс. рублей - уменьшен объем бюджетных ассигнований путем внутреннего перераспределения на исполнение исполнительных документов, оплаты исполнительного сбора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(-) 6 702,8 тыс. рублей -  уменьшен объем бюджетных ассигнований путем внутреннего перераспределения в целях обеспечения возврата средств по требованию Департамента строительства и архитектуры Ханты-Мансийского автономного округа - Югры (средства местного бюджета)
</t>
  </si>
  <si>
    <t>(-) 374,6 тыс. рублей -  уменьшен объем бюджетных ассигнований путем внутреннего перераспределения в целях обеспечения возврата средств по требованию Департамента строительства и архитектуры Ханты-Мансийского автономного округа - Югры (средства местного бюджета)</t>
  </si>
  <si>
    <t>(-) 1 187,8 тыс. рублей - уменьшен объем бюджетных ассигнований путем внутреннего перераспределения на исполнение исполнительных документов, оплаты исполнительного сбора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(-) 7 077,4 тыс. рублей -  уменьшен объем бюджетных ассигнований путем внутреннего перераспределения в целях обеспечения возврата средств по требованию Департамента строительства и архитектуры Ханты-Мансийского автономного округа - Югры (средства местного бюджета)</t>
  </si>
  <si>
    <t>(+) 208,1 тыс. рублей - увеличен объем бюджетных ассигнований на возмещение недополученных доходов в связи с выполнением работ по перевозке обучающихся в муниципальных общеобразовательных организациях (средства местного бюджета)</t>
  </si>
  <si>
    <t>(-) 208,1 тыс. рублей - уменьшен объем бюджетных ассигнований на возмещение недополученных доходов в связи с выполнением работ по перевозке обучающихся в муниципальных общеобразовательных организациях (средства местного бюджета)</t>
  </si>
  <si>
    <t>(+) 100,8 тыс. рублей - увеличен объем бюджетных ассигнований путем внутреннего пераспределения на выплату материального стимулирования народным дружинникам (средства местного бюджета)</t>
  </si>
  <si>
    <t>(-) 121,0 тыс. рублей - уменьшен объем бюджетных ассигнований путем внутреннего перераспределения на оплату административного штрафа, командировочные расходы (средства местного бюджета)</t>
  </si>
  <si>
    <t>(-) 12,1 тыс. рублей - уменьшен объем бюджетных ассигнований, путем перераспределения, на реализацию мероприятий по содействию трудоустройству граждан (реализация мероприятий по организации проведения оплачиваемых общественных работ) (средства бюджета автономного округа)</t>
  </si>
  <si>
    <t>(-) 121,7 тыс. рублей - уменьшен объем бюджетных ассигнований, путем внутреннего пераспределения, на приобретение основных средств (средства местного бюджета)</t>
  </si>
  <si>
    <t xml:space="preserve">(+) 259,4 тыс. рублей - увеличен объем бюджетных ассигнований, путем перераспределения, для заключения договоров по содержанию имущества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(+) 76,4 тыс. рублей - увеличен объем бюджетных ассигнований, путем перераспределения, для выплаты компенсации расходов стоимости по прохождению медицинского осмотра для вновь принятых сотрудников учреждения (МАУ ДО «СШ «Юность») (средства местного бюджета) </t>
  </si>
  <si>
    <t>(+) 7,4 тыс. рублей - увеличен объем бюджетных ассигнований, путем внутреннего перераспределения, для выплаты заработной платы работникам учреждения, с учетом увеличения окладов с 01.10.2024 на 4% (средства местного бюджета)</t>
  </si>
  <si>
    <t>(-) 0,4 тыс. рублей - уменьшен объем бюджетных ассигнований, путем внутреннего перераспределения, в связи со сложившейся экономией по программным мероприятиям (средства местного бюджета)</t>
  </si>
  <si>
    <t>(-) 7,0 тыс. рублей - уменьшен объем бюджетных ассигнований, путем внутреннего перераспределения, в связи со сложившейся экономией по программным мероприятиям, для выплаты заработной платы работникам учреждения (средства местного бюджета)</t>
  </si>
  <si>
    <t>(+) 600,0 тыс.рублей - увеличен объем бюджетных ассигнований путем перераспределения в целях закупки новогодних подарков в количестве 650 штук для детей с ограниченными возможностями здоровья, детей из малообеспеченных семей, детей из семей участников специальной военной операции (средства местного бюджета)</t>
  </si>
  <si>
    <t xml:space="preserve">(+) 4 685,8 тыс. рублей - увеличен объем бюджетных ассигнований путем внутреннего перераспределения на реализацию программных мероприятий (средства местного бюджета)  </t>
  </si>
  <si>
    <t xml:space="preserve">(+) 197,4 тыс. рублей - увеличен объем бюджетных ассигнований путем внутреннего перераспределения на реализацию программных мероприятий (средства местного бюджета)  </t>
  </si>
  <si>
    <t xml:space="preserve">(+) 110,0 тыс. рублей - увеличен объем бюджетных ассигнований путем внутреннего перераспределения на реализацию программных мероприятий (средства местного бюджета)  </t>
  </si>
  <si>
    <t xml:space="preserve">(+) 191,8 тыс. рублей - увеличен объем бюджетных ассигнований путем внутреннего перераспределения на реализацию программных мероприятий (средства местного бюджета)  </t>
  </si>
  <si>
    <t>(+) 893,6 тыс. рублей - увеличен объем бюджетных ассигнований путем внутреннего перераспределения на приобретение основных средств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(+) 432,0 тыс. рублей - увеличен объем бюджетных ассигнований путем внутреннего перераспределения на оказание услуг энергоснабжения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1 000,0 тыс. рублей - увеличен объем бюджетных ассигнований путем внутреннего перераспределения на устранение последствий пожара в административном здании по ул. Нефтяников, 8 (средства местного бюджета);                                                                                                                                   (+) 883,5 тыс. рублей - увеличен объем бюджетных ассигнований путем внутреннего перераспределения на выплату заработной платы и начислений на оплату труда в связи с повышением на 4,0% с 01.10.2024 и увеличением штатной численности (средства местного бюджета)</t>
  </si>
  <si>
    <t>(-) 4,2 тыс. рублей - уменьшен объем бюджетных ассигнований путем внутреннего перераспределения на первоочередные расходы (средства местного бюджета)</t>
  </si>
  <si>
    <t>(-) 129,3 тыс. рублей - уменьшен объем бюджетных ассигнований, путем внутреннего перераспределения, для реализации мероприятий Всероссийского физкультурно-спортивного комплекса «Готов к труду и обороне» (ГТО) (средства местного бюджета)</t>
  </si>
  <si>
    <t>(+) 129,3 тыс. рублей - увеличен объем бюджетных ассигнований, путем внутреннего перераспределения, для реализации мероприятий Всероссийского физкультурно-спортивного комплекса «Готов к труду и обороне» (ГТО) (средства местного бюджета)</t>
  </si>
  <si>
    <t>(-) 2 207,5 тыс. рублей - уменьшен объем бюджетных ассигнований, путем перераспределения, в связи со сложившейся экономией по программным мероприятиям и направленных на выполнение работ по ремонту тротуара к остановке мкр. «Новый» в г. Мегионе , на выполнение работ по обвалованию, восстановлению насыпи автомобильной дороги по ул. Озерная в г. Мегионе, на монтаж металлического барьерного ограждения на тротуаре вдоль р.Сайма в г. Мегионе, на устройство покрытия проезда по ул. Сосновая в пгт. Высокий,  на установку светильников сетей уличного освещения в г. Мегионе (средства местного бюджета)</t>
  </si>
  <si>
    <t xml:space="preserve">(+) 119 441,8 тыс. рублей - увеличен объем целевых межбюджетных трансфертов на реализацию мероприятий за счет бюджетных ассигнований резервного фонда Правительства ХМАО – Югры на финансовое обеспечение непредвиденных расходов, в целях оплаты задолженности организаций коммунального комплекса за потребленный газ (средства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119 441,7 тыс. рублей - увеличен объем бюджетных ассигнований на финансовое обеспечение затрат юридическим лицам (за исключением муниципальных учреждений), осуществляющим свою деятельность в сфере теплоснабжения, водоснабжения и водоотведения и оказывающим коммунальные услуги населению города Мегиона, связанных с погашением задолженности за потребленные топливно-энергетические ресурсы (средства местного бюджета) </t>
  </si>
  <si>
    <t>(+) 24,6 тыс. рублей - увеличен объем бюджетных ассигнований на выполнение работ по установке и замене индивидуальных узлов учета энергоресурсов (средства местного бюджета)</t>
  </si>
  <si>
    <t>(+) 250,0 тыс. рублей - увеличен объем бюджетных ассигнований путем внутреннего перераспределения на оплату административных штрафов (средства местного бюджета);                                                                                                                                                                                                                            (+) 23,9 тыс. рублей - увеличен объем бюджетных ассигнований путем внутреннего перераспределения на командировочные расходы (средства местного бюджета);                                                                                                                                                                                                                       (+) 273,7 тыс. рублей - увеличен объем бюджетных ассигнований путем внутреннего перераспределения на приобретение жестких дисков для системных блоков и многофункциональных устройств (средства местного бюджета);                                                                                                    (-) 750,0 тыс. рублей - уменьшен объем бюджетных ассигнований путем внутреннего перераспределения на выплату заработной платы и начислений на оплату труда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(+) 261,5 тыс. рублей - увеличен объем бюджетных ассигнований путем внутреннего перераспределения на оплату административного штрафа, компенсацию расходов на оплату стоимости проезда и провоза багажа к месту использования отпуска и обратно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171,2 тыс. рублей - увеличен объем бюджетных ассигнований путем внутреннего перераспределения на возмещение материального ущерба и судебных расходов по исполнительному листу (средства местного бюджета)</t>
  </si>
  <si>
    <r>
      <t xml:space="preserve">(+) 893,6 тыс. рублей - увеличен объем бюджетных ассигнований путем внутреннего перераспределения на приобретение основных средств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(+) 432,0 тыс. рублей - увеличен объем бюджетных ассигнований путем внутреннего перераспределения на оказание услуг энергоснабжения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1 000,0 тыс. рублей - увеличен объем бюджетных ассигнований путем внутреннего перераспределения на устранение последствий пожара в административном здании по ул. Нефтяников, 8 (средства местного бюджета);                                                                                                                                   </t>
    </r>
    <r>
      <rPr>
        <sz val="8"/>
        <color rgb="FFFF0000"/>
        <rFont val="Times New Roman"/>
        <family val="1"/>
        <charset val="204"/>
      </rPr>
      <t>(</t>
    </r>
    <r>
      <rPr>
        <sz val="8"/>
        <rFont val="Times New Roman"/>
        <family val="1"/>
        <charset val="204"/>
      </rPr>
      <t xml:space="preserve">+) 133,5 тыс. рублей - увеличен объем бюджетных ассигнований путем внутреннего перераспределения на выплату заработной платы и начислений на оплату труда в связи с повышением на 4,0% с 01.10.2024 (средства местного бюджета);                                   </t>
    </r>
    <r>
      <rPr>
        <sz val="8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(+) 250,0 тыс. рублей - увеличен объем бюджетных ассигнований путем внутреннего перераспределения на оплату административных штрафов (средства местного бюджета);                                                                                                                                                                                                                            (+) 23,9 тыс. рублей - увеличен объем бюджетных ассигнований путем внутреннего перераспределения на командировочные расходы (средства местного бюджета);                                                                                                                                                                                                                       (+) 273,7 тыс. рублей - увеличен объем бюджетных ассигнований путем внутреннего перераспределения на приобретение жестких дисков для системных блоков и многофункциональных устройств (средства местного бюджета);                                                                                                                                                                                   (+) 261,5 тыс. рублей - увеличен объем бюджетных ассигнований путем внутреннего перераспределения на оплату административного штрафа, компенсацию расходов на оплату стоимости проезда и провоза багажа к месту использования отпуска и обратно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171,2 тыс. рублей - увеличен объем бюджетных ассигнований путем внутреннего перераспределения на возмещение материального ущерба и судебных расходов по исполнительному листу (средства местного бюджета)                                                                                          </t>
    </r>
  </si>
  <si>
    <t>(+) 8 289,2 тыс. рублей - увеличен объем бюджетных ассигнований  в целях исполнения требования Департамента строительства и жилищно-коммунального комплекса ХМАО – Югры о возврате средств ППК «Фонд развития территорий»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1 433,9 тыс. рублей - увеличен объем бюджетных ассигнований путем внутреннего перераспределения на исполнение исполнительных документов, оплату исполнительного сбора (средства местного бюджета);                                                                                                                                                                                                                                 (+) 180,0 тыс. рублей - увеличен объем бюджетных ассигнований за счет бюджетных ассигнований резервного фонда Правительства Ханты-Мансийского автономного округа – Югры (средства бюджета автономного округа);                                                                                                                                                                                             (+) 12 965,1 тыс. рублей -  увеличен объем бюджетных ассигнований путем внутреннего перераспределения в целях обеспечения возврата средств по требованию Департамента строительства и архитектуры Ханты-Мансийского автономного округа - Югры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150,0 тыс. рублей - увеличен объем бюджетных ассигнований путем внутреннего перераспределения в целях проведения судебной оценочной экспертизы (средства местного бюджета)</t>
  </si>
  <si>
    <t>(+) 86,1 тыс. рублей - увеличен объем бюджетных ассигнований путем внутреннего перераспределения в целях монтажа ограждения на тротуаре вдоль Саймы (средства местного бюджета)</t>
  </si>
  <si>
    <t xml:space="preserve">(+) 1 503,9 тыс. рублей - увеличен объем бюджетных ассигнований путем внутреннего перераспределения на заработную плату работникам учреждения, с учетом увеличения окладов с 01.10.2024 на 4%, на диагностику линий и видеокамер для Безопасного города, приобретение противогазов, жестких дисков, видеокамер (средства местного бюджета)                                         </t>
  </si>
  <si>
    <t>(-) 852,0 тыс. рублей - уменьшен объем бюджетных ассигнований путем внутреннего перераспределения на заработную плату работникам учреждения, с учетом увеличения окладов на 4%, на диагностику линий и видеокамер для Безопасного города, приобретение противогазов, жестких дисков, видеокамер (средства местного бюджета)</t>
  </si>
  <si>
    <t>(-) 14,0 тыс. рублей - уменьшен объем бюджетных ассигнований путем внутреннего перераспределения на заработную плату работникам учреждения, с учетом увеличения окладов на 4% (средства местного бюджета)</t>
  </si>
  <si>
    <t>(-) 51,5 тыс. рублей - уменьшен объем бюджетных ассигнований путем внутреннего перераспределения на заработную плату работникам учреждения, с учетом увеличения окладов на 4% (средства местного бюджета)</t>
  </si>
  <si>
    <t xml:space="preserve">(+) 1 452,4 тыс. рублей - увеличен объем бюджетных ассигнований путем внутреннего перераспределения на заработную плату работникам учреждения, с учетом увеличения окладов на 4%, диагностику линий и видеокамер для Безопасного города, приобретение противогазов, жестких дисков, видеокамер (средства местного бюджета)   </t>
  </si>
  <si>
    <t>(+) 300,0 тыс. рублей -  увеличен объем бюджетных ассигнований на реализацию наказов избирателей депутатам Думы ХМАО-Югры на приобретение сценических костюмов для вокального коллектива "Северяночка" (средства автономного округа);                                             (-) 166,6 тыс. рублей - уменьшен объем бюджетных ассигнований путем внутреннего перераспределения для оплаты командировочных расходов, пополнения книжного фонда (средства местного бюджета);                                                                                                                                        (+) 297,5 тыс. рублей - увеличен объем бюджетных ассигнований путем внутреннего перераспределения для оплаты расходов на ремонт кровли (средства местного бюджета)</t>
  </si>
  <si>
    <t>(-) 7,9 тыс. рублей - уменьшен объем бюджетных ассигнований путем внутреннего перераспределения программный мероприятий (средства местного бюджета)</t>
  </si>
  <si>
    <t>(+) 135,7 тыс. рублей -увеличен объем бюджетных ассигнований путем внутреннего перераспределения на пополнение книжного фонда (средства местного бюджета);                                                                                                                                                                                                  (+) 546,1 тыс. рублей - увеличен объем бюджетных ассигнований на реализацию наказов избирателей депутатам Думы ХМАО-Югры на приобретение очков виртуальной реальности для модельной библиотеки в пгт. Высокий, автоматизированных рабочих мест для детской библиотеки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300,0 тыс. рублей -  увеличен объем бюджетных ассигнований на реализацию наказов избирателей депутатам Думы ХМАО-Югры на приобретение сценических костюмов для вокального коллектива "Северяночка"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166,6 тыс. рублей - уменьшен объем бюджетных ассигнований путем внутреннего перераспределения для оплаты командировочных расходов, пополнения книжного фонда (средства местного бюджета);                                                                                                                        (+) 297,5 тыс. рублей - увеличен объем бюджетных ассигнований путем внутреннего перераспределения для оплаты расходов на ремонт кровли (средства местного бюджета);                                                                                                                                                                                             (-) 7,9 тыс. рублей - уменьшен объем бюджетных ассигнований путем внутреннего перераспределения программный мероприятий (средства местного бюджета)</t>
  </si>
  <si>
    <t>(-) 10 182,5 тыс. рублей - уменьшен объем бюджетных ассигнований путем внутреннего перераспределения в части средств на реализацию мероприятий в области строительства и жилищных отношений в соответствии с заключенным дополнительным соглашением №3 (5-ЕС/2024) к соглашению о предоставлении субсидии местному бюджету из бюджета Ханты-Мансийского автономного округа – Югры (средства местного бюджета - 712,8 тыс. рублей, средства бюджета автономного округа - 9 469,7 тыс. рублей)</t>
  </si>
  <si>
    <t xml:space="preserve">(+) 1 510,0 тыс. рублей -  увеличен объем бюджетных ассигнований на финансирование наказов избирателей депутатам Думы Ханты-Мансийского автономного округа - Югры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470,0 тыс. рублей - увеличен объем бюджетных ассигнований на приобретение принтера для печати рельефно-точечным шрифтом Брайля в комплекте с программным обеспечением для МАУ «РИКиЭЦ» (Расп.Прав.Тюм.обл. от 26.02.2024 №130-рп)(средства местного бюджета);
(+) 282,1 тыс. рублей - увеличен объем бюджетных ассигнований на разработку дизайн-проекта библиотеки для МБУ «ЦБС» (Расп.Прав.Тюм. обл.от 26.02.2024 №131-рп) (средства местного бюджета);
(+) 1 026,2 тыс. рублей - увеличен объем бюджетных ассигнований в целях проведения ремонта помещений в связи с переездом структурного подразделения «Школа искусств «Высокий» в здание МБОУ «СОШ №6»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(-) 77,1 тыс. рублей - уменьшен объем бюджетных ассигнований в целях проведения  обустройства входной группы с установкой пандуса Модельной библиотеки пгт.Высокий (ул.Льва Толстого, д.12) (средства местного бюджета);                                                                                      (-) 15,1 тыс. рублей -    уменьшен объем бюджетных ассигнований на оплату командировочных расходов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(+) 210,0 тыс. рублей - увеличен объем бюджетных ассигнований на оплату услуг по монтажу и пуско-наладке системы речевого оповещения в МБУ «Централизованная библиотечная система»  (средства местного бюджета);                                                                                       (+) 6 435,9 тыс. рублей - увеличен объем бюджетных ассигнований на реновацию МБУ ДО "ДШИ им.А.М.Кузьмина" (благотворительное пожертвование ООО "Газпромнефть-Хантос") (средства местного бюджета);                                                                                                                              </t>
  </si>
  <si>
    <t>(+) 135,7 тыс. рублей -увеличен объем бюджетных ассигнований путем внутреннего перераспределения на пополнение книжного фонда (средства местного бюджета);                                                                                                                                                                                                  (+) 546,1 тыс. рублей - увеличен объем бюджетных ассигнований на реализацию наказов избирателей депутатам Думы ХМАО-Югры на приобретение очков виртуальной реальности для модельной библиотеки в пгт. Высокий, автоматизированных рабочих мест для детской библиотеки (средства автономного округа)</t>
  </si>
  <si>
    <t>(+) 1 340,0 тыс. рублей -  увеличен объем бюджетных ассигнований на финансирование наказов избирателей депутатам Думы Ханты-Мансийского автономного округа - Югры (средства бюджета автономного округа)</t>
  </si>
  <si>
    <t xml:space="preserve">(+) 470,0 тыс. рублей - увеличен объем бюджетных ассигнований на приобретение принтера для печати рельефно-точечным шрифтом Брайля в комплекте с программным обеспечением для МАУ «РИКиЭЦ» (Расп.Прав.Тюм.обл. от 26.02.2024 №130-рп);
(+) 282,1 тыс. рублей - увеличен объем бюджетных ассигнований на разработку дизайн-проекта библиотеки для МБУ «ЦБС» (Расп.Прав.Тюм. обл.от 26.02.2024 №131-рп);
(+) 1 026,2 тыс. рублей - увеличен объем бюджетных ассигнований в целях проведения ремонта помещений в связи с переездом структурного подразделения «Школа искусств «Высокий» в здание МБОУ «СОШ №6» (средства местного бюджета);                                                  (-) 77,1 тыс. рублей - уменьшен объем бюджетных ассигнований в целях проведения  обустройства входной группы с установкой пандуса Модельной библиотеки пгт.Высокий (ул.Льва Толстого, д.12) (средства местного бюджета);                                                                                        (-) 15,1 тыс. рублей -    уменьшен объем бюджетных ассигнований на оплату командировочных расходов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(+) 6 435,9 тыс. рублей - увеличен объем бюджетных ассигнований на реновацию МБУ ДО "ДШИ им.А.М.Кузьмина" (благотворительное пожертвование ООО "Газпромнефть-Хантос") (средства местного бюджета);                                                                                                   (+) 170,0 тыс. рублей -  тыс. рублей увеличен объем бюджетных ассигнований на финансирование наказов избирателей депутатам Думы Ханты-Мансийского автономного округа - Югры (средства бюджета автономного округа);     </t>
  </si>
  <si>
    <t>(+) 450,0 тыс. рублей - увеличен объем бюджетных ассигнований на реализацию наказов избирателей депутатам Думы ХМАО-Югры (приобретение цветного принтера) (средства бюджета автономного округа);                                                                                                                                (-) 50,6 тыс. рублей - уменьшен объем бюджетных ассигнований за счет перераспределения на выполнение монтажно-наладочных работ по замене оконечного устройства системы тревожной сигнализации МБУ "ЦБС" (средства местного бюджета)</t>
  </si>
  <si>
    <t>(+) 142,9 тыс. рублей - увеличен объем бюджетных ассигнований за счет перераспределения на выполнение монтажно-наладочных работ по замене оконечного устройства системы тревожной сигнализации МБУ "ЦБС" (средства местного бюджета)</t>
  </si>
  <si>
    <t xml:space="preserve">(-) 100,0 тыс. рублей - уменьшен объем бюджетных ассигнований в целях проведения  обустройства входной группы с установкой пандуса Модельной библиотеки пгт.Высокий (ул. Льва Толстого, д.12) </t>
  </si>
  <si>
    <t>(+) 600,0 тыс. рублей - увеличен объем бюджетных ассигнований путем перераспределения в целях закупки новогодних подарков в количестве 650 штук для детей с ограниченными возможностями здоровья, детей из малообеспеченных семей, детей из семей участников специальной военной операции (средства местного бюджета)</t>
  </si>
  <si>
    <t xml:space="preserve">(-) 100,0 тыс. рублей - уменьшен объем бюджетных ассигнований в целях проведения  обустройства входной группы с установкой пандуса Модельной библиотеки пгт.Высокий (ул.Льва Толстого, д.12) </t>
  </si>
  <si>
    <t>(-) 1 026,2 тыс. рублей - уменьшен объем бюджетных ассигнований в целях проведения ремонта помещений в связи с переездом структурного подразделения «Школа искусств «Высокий» в здание МБОУ «СОШ №6» (средства местного бюджета);                                                                (-) 1 120,8 тыс. рублей - уменьшен объем бюджетных ассигнований в целях проведения  обустройства входной группы с установкой пандуса Модельной библиотеки пгт.Высокий (ул.Льва Толстого, д.12) ;                                                                                                                                  (+) 15,1 тыс. рублей - увеличен объем бюджетных ассигнований для оплаты командировочных расходов (средства местного бюджета)</t>
  </si>
  <si>
    <t xml:space="preserve">(-) 92,3 тыс.рублей - уменьшен объем бюджетных ассигнований за счет перераспределения для выполнения монтажно-наладочных работ по замене оконечного устройства системы тревожной сигнализации МБУ "ЦБС" (средства местного бюджета);                                                                                                               (+) 41 485,0 тыс. рублей - увеличен  объем бюджетных ассигнований на повышение оплаты труда категорий работников, подпадающих под действие Указов Президента Российской Федерации от 2012 года, на обеспечение заработной платой и начислениями на оплату труда за декабрь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1661,3 тыс. рублей  - увеличен объем бюджетных ассигнований  на компенсацию расходов на оплату стоимости проезда и провоза багажа к месту использования отпуска и обратно (средства местного бюджета);                                                                                                                                                                                                              (+) 1 472,8 тыс. рублей -увеличен объем бюджетных ассигнований на оплату расходов по оплате листов нетрудоспособности, для заключения договоров по медицинскому профилактическому осмотру, на круглосуточную физическую охрану зданий, на поставку дизельного топлива (средств местного бюджета)                                                                                            </t>
  </si>
  <si>
    <t>(-) 258,7 тыс. рублей -уменьшен объем бюджетных ассигнований путем внутреннего перераспределения в целях оплаты расходов по прохождению медицинского осмотра вновь принятых работников, командировочных расходов, компенсации расходов работников при переезде из районов Крайнего Севера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32,9 тыс. рублей - увеличен объем бюджетных ассигнований на оплату исполнительного листа  (средства местного бюджета)</t>
  </si>
  <si>
    <t>(-) 1 026,3 тыс. рублей - уменьшен объем бюджетных ассигнований в целях проведения ремонта помещений в связи с переездом структурного подразделения «Школа искусств «Высокий» в здание МБОУ «СОШ №6» (средства местного бюджета);                                                        (-) 1 120,8 тыс. рублей - уменьшен объем бюджетных ассигнований в целях проведения  обустройства входной группы с установкой пандуса Модельной библиотеки пгт.Высокий (ул.Льва Толстого, д.12);                                                                                                                                                                                   (+) 15,1 тыс. рублей - увеличен объем бюджетных ассигнований для оплаты командировочных расходов (средства местного бюджета)</t>
  </si>
  <si>
    <t xml:space="preserve">(-) 92,3 тыс. рублей - уменьшен объем бюджетных ассигнований за счет перераспределения для выполнения монтажно-наладочных работ по замене оконечного устройства системы тревожной сигнализации МБУ "ЦБС" (средства местного бюджета);                          (+) 41 485,0 тыс. рублей - увеличен  объем бюджетных ассигнований на повышение оплаты труда категорий работников, подпадающих под действие Указов Президента Российской Федерации от 2012 года, на обеспечение заработной платой и начислениями на оплату труда за декабрь;                                                                                                                                          (+) 1661,3 тыс. рублей  - увеличен объем бюджетных ассигнований  на компенсацию расходов на оплату стоимости проезда и провоза багажа к месту использования отпуска и обратно (средства местного бюджета) ;                                                                                                                                           (+) 1 472,8 тыс. рублей -увеличен объем бюджетных ассигнований на оплату расходов по оплате листов нетрудоспособности, для заключения договоров по медицинскому профилактическому осмотру, на круглосуточную физическую охрану зданий, на поставку дизельного топлива (средств местного бюджета)                                                                                         </t>
  </si>
  <si>
    <t>(-) 258,7 тыс. рублей -уменьшен объем бюджетных ассигнований путем внутреннего перераспределения в целях оплаты расходов по прохождению медицинского осмотра вновь принятых работников, командировочных расходов, компенсации расходов работников при переезде из районов Крайнего Севера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32,9 тыс. рублей - увеличен объем бюджетных ассигнований на оплату исполнительного листа</t>
  </si>
  <si>
    <t xml:space="preserve">(+) 2 465,9 тыс. рублей - увеличен объем бюджетных ассигнований на обеспечение заработной платой и начислениями на оплату труда за декабрь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(+)56,4 тыс. рублей -  увеличен объем бюджетных ассигнований  на компенсацию расходов на оплату стоимости проезда и провоза багажа к месту использования отпуска и обратно (средства местного бюджета)     </t>
  </si>
  <si>
    <t xml:space="preserve">(+) 2 465,9 тыс. рублей - увеличен объем бюджетных ассигнований на обеспечение заработной платой и начислениями на оплату труда за декабрь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(+)56,4 тыс. рублей -  увеличен объем бюджетных ассигнований  на компенсацию расходов на оплату стоимости проезда и провоза багажа к месту использования отпуска и обратно (средства местного бюджета)                                                                                              </t>
  </si>
  <si>
    <r>
      <t xml:space="preserve">(+) 300,0 тыс. рублей - увеличен объем бюджетных ассигнований на приобретение оргтехники для МАУ "СШ "Юность"(распоряжение Правительства Тюменской области от 29.07.2024 №725-рп) (средства местного бюджета);    </t>
    </r>
    <r>
      <rPr>
        <sz val="8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(+) 18 062,2 тыс. рублей - увеличен  объем бюджетных ассигнований на повышение оплаты труда категорий работников, подпадающих под действие Указов Президента Российской Федерации от 2012 года, на обеспечение заработной платой и начислениями на оплату труда за декабрь (средства местного бюджета);         </t>
    </r>
    <r>
      <rPr>
        <sz val="8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(+) 1 084,1 тыс. рублей -  увеличен объем бюджетных ассигнований  на компенсацию расходов на оплату стоимости проезда и провоза багажа к месту использования отпуска и обратно (средства местного бюджета);                                                                             </t>
    </r>
    <r>
      <rPr>
        <sz val="8"/>
        <color rgb="FFFF0000"/>
        <rFont val="Times New Roman"/>
        <family val="1"/>
        <charset val="204"/>
      </rPr>
      <t xml:space="preserve">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(+) 4 640,1 тыс. рублей - увеличен объем бюджетных ассигнований для заключения договоров на оказание круглосуточной физической охраны объектов спорта (средства местного бюджета);                                                                                                                                              (+) 100,0 тыс. рублей - увеличен объем бюджетных ассигнований на перевод кнопки тревожной сигнализации на альтернативные каналы на спортивных объектах МАУ ДО "СШ "Вымпел" (средства местного бюджета);                                                                                                                                                          (+) 550,0 тыс. рублей - увеличен объем бюджетных ассигнований для  устранения предписаний (клуб "Мустанг") МАУ ДО "СШ "Юность" (средства местного бюджета);                                                                                                                                                                                                             (+) 1 413,0 тыс. рублей - увеличен объем бюджетных ассигнований на выполнение ремонтных работ в здании объектов спорта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1 032,8 тыс. рублей - увеличен объем бюджетных ассигнований для заключения договоров по содержанию имущества и на выполнение ремонтных работ в здании объектов спорта (средства местного бюджета)                                                                         </t>
    </r>
  </si>
  <si>
    <t>(+) 300,0 тыс. рублей - увеличен объем бюджетных ассигнований на приобретение оргтехники для МАУ "СШ "Юность"(распоряжение Правительства Тюменской области от 29.07.2024 №725-рп) (средства местного бюджета);                                                                                               (+) 18 062,2 тыс. рублей - увеличен  объем бюджетных ассигнований на повышение оплаты труда категорий работников, подпадающих под действие Указов Президента Российской Федерации от 2012 года, на обеспечение заработной платой и начислениями на оплату труда за декабрь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1 084,1 тыс. рублей -  увеличен объем бюджетных ассигнований  на компенсацию расходов на оплату стоимости проезда и провоза багажа к месту использования отпуска и обратно (средства местного бюджета);                                                                                                                       (+) 4 640,10 тыс. рублей - увеличен объем бюджетных ассигнований для заключения договоров на оказание круглосуточной физической охраны объектов спорта (средства местного бюджета);                                                                                                                                                         (+) 1 032,8 тыс. рублей - увеличен объем бюджетных ассигнований для заключения договоров по содержанию имущества и на выполнение ремонтных работ в здании объектов спорта (средства местного бюджета)</t>
  </si>
  <si>
    <t>Основное мероприятие "Обеспечение участия сборных команд по видам спорта в межмуниципальных, региональных, всеросcийских соревнованиях, подготовка и обеспечение спортивного резерва, участие в тренировочных мероприятиях. Проведение соревнований по видам спорта"</t>
  </si>
  <si>
    <t xml:space="preserve">(-) 10 182,5 тыс. рублей - уменьшен объем бюджетных ассигнований путем внутреннего перераспределения в части средств на реализацию мероприятий в области строительства и жилищных отношений в соответствии с заключенным дополнительным соглашением №3 (5-ЕС/2024) к соглашению о предоставлении субсидии местному бюджету из бюджета Ханты-Мансийского автономного округа – Югры (средства местного бюджета - 712,8 тыс. рублей, средства бюджета автономного округа - 9 469,7 тыс. рублей)
</t>
  </si>
  <si>
    <t xml:space="preserve">(+) 11 008,0 тыс. рублей - увеличен объем бюджетных ассигнований на установку ливневой канализации по ул.Нефтеразведочная на пересечении улиц Советская - Львовская в г.Мегион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1 021,0 тыс. рублей - уменьшен объем бюджетных ассигнований путем внутреннего перераспределения на ремонтные работы помещений административного здания по ул.Советская, 19 (средства местного бюджета);                                                                                                                                                                                                    (-) 140,0 тыс. рублей - уменьшен объем бюджетных ассигнований путем внутреннего перераспределения  на выполнение электромонтажных работ по диагностики и ремонту стелы на кольце при въезде в город (средства местного бюджета);                                                                                                                                                                                           (-) 1 284,2 тыс. рублей - уменьшен объем бюджетных ассигнований путем внутреннего перераспределения  на ремонт и содержание площадей и скверов (средства местного бюджета);                                                                                                                                                                                                                      (-) 600,0 тыс. рублей - уменьшен объем бюджетных ассигнований путем внутреннего перераспределения  на ремонт дворовых территории жилых домов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590,0 тыс. рублей - уменьшен объем бюджетных ассигнований путем внутреннего перераспределения на содержание и текущий ремонт автомобильных дорог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(-) 59,6 тыс. рублей - уменьшен объем бюджетных ассигнований путем внутреннего перераспределения на приобретение и установку флажков на опорах освещения улично-дорожной сети города (средства местного бюджета);                                                                                      (-) 3 157,4 тыс. рублей -  уменьшен объем бюджетных ассигнований путем внутреннего перераспределения на  строительство городского кладбища и услуги по погребению умерших (копка могил) (средства местного бюджета);               
 </t>
  </si>
  <si>
    <t>(+) 600,0 тыс. рублей - увеличен объем бюджетных ассигнований путем внутреннего перераспределения на ликвидацию эпизоотического очага бешенства (средства местного бюджета)</t>
  </si>
  <si>
    <t>(-) 368,3 тыс. рублей - уменьшен объем бюджетных ассигнований путем внутреннего перераспределения в части средств на реализацию мероприятий в области строительства и жилищных отношений в соответствии с заключенным дополнительным соглашением №3 (5-ЕС/2024) к соглашению о предоставлении субсидии местному бюджету из бюджета Ханты-Мансийского автономного округа – Югры (средства местного бюджета - 25,8 тыс. рублей, средства бюджета автономного округа - 342,5 тыс. рублей);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556,0 тыс. рублей - увеличен объем бюджетных ассигнований путем внутреннего перераспределения на обслуживание сетей уличного освещения (средства местного бюджета);                                                                                                                                                                            (+) 3 000,0 тыс. рублей - увеличен объем бюджетных ассигнований путем внутреннего перераспределения на потребление электроэнергии на уличное освещение (средства местного бюджета);                                                                                                                                                                              (-) 42,3 тыс. рублей - уменьшен объем бюджетных ассигнований путем внутреннего перераспределения на приобретение жестких дисков для системных блоков и многофункциональных устройств (средства местного бюджета);                                                                                                                                                    (-) 203,1 тыс. рублей - уменьшен объем бюджетных ассигнований путем внутреннего перераспределения на оплату административного штрафа, выполнение работ по установке и замене индивидуальных узлов учета энергоресурсов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586,4 тыс. рублей - уменьшен объем бюджетных ассигнований путем внутреннего перераспределения на заработную плату и начисления на оплату труда (средства местного бюджета)</t>
  </si>
  <si>
    <t>(+) 130,0 тыс. рублей - увеличен объем бюджетных ассигнований путем внутреннего перераспределения между программными мероприятиями (средства местного бюджета)</t>
  </si>
  <si>
    <t>(-) 80,0 тыс. рублей - уменьшен объем бюджетных ассигнований путем внутреннего перераспределения между программными мероприятиями (средства местного бюджета)</t>
  </si>
  <si>
    <t>(-) 50,0 тыс. рублей - уменьшен объем бюджетных ассигнований путем внутреннего перераспределения между программными мероприятиями (средства местного бюджета)</t>
  </si>
  <si>
    <t xml:space="preserve">(-) 465,8 тыс. рублей - уменьшен объем бюджетных ассигнований путем внутреннего перераспределения для размещения муниципального заказа на выполнение работ по объекту "Ремонт и содержание площадей и скверов"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31,9 тыс. рублей -  уменьшен объем бюджетных ассигнований путем внутреннего перераспределения на оплату услуг эксперта по судебным определениям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(+) 250,0 тыс. рублей -  увеличен объем бюджетных ассигнований на  природоохранные мероприятия (ликвидация свалок)  (средства местного бюджета)  
</t>
  </si>
  <si>
    <t xml:space="preserve">(+) 690,0 - тыс. рублей увеличен объем бюджетных ассигнований на финансирование наказов избирателей депутатам Думы Ханты-Мансийского автономного округа - Югры (средства бюджета автономного округа)     </t>
  </si>
  <si>
    <r>
      <t xml:space="preserve">(+) 344,4 тыс. рублей - увеличен объем бюджетных ассигнований  на  компенсацию расходов на оплату стоимости проезда и провоза багажа к месту использования отпуска и обратно (средства местного бюджета);  </t>
    </r>
    <r>
      <rPr>
        <sz val="8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04"/>
      </rPr>
      <t>(+) 3 164,4 тыс. рублей - увеличен объем бюджетных ассигнований на обеспечение заработной платой и начислениями на оплату труда за декабрь (средства местного бюджета)</t>
    </r>
  </si>
  <si>
    <t xml:space="preserve">(+) 690,0 - тыс. рублей увеличен объем бюджетных ассигнований на финансирование наказов избирателей депутатам Думы Ханты-Мансийского автономного округа - Югры (средства бюджета автономного округа);     </t>
  </si>
  <si>
    <r>
      <t xml:space="preserve">(+) 344,4 тыс. рублей - увеличен объем бюджетных ассигнований  на  компенсацию расходов на оплату стоимости проезда и провоза багажа к месту использования отпуска и обратно (средства местного бюджета);  </t>
    </r>
    <r>
      <rPr>
        <sz val="8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</t>
    </r>
    <r>
      <rPr>
        <sz val="8"/>
        <rFont val="Times New Roman"/>
        <family val="1"/>
        <charset val="204"/>
      </rPr>
      <t>(+) 3 164,4 тыс. рублей - увеличен объем бюджетных ассигнований на обеспечение заработной платой и начислениями на оплату труда (средства местного бюджета)</t>
    </r>
  </si>
  <si>
    <t xml:space="preserve">(+) 4 119,2 - тыс. рублей увеличен объем бюджетных ассигнований на финансирование наказов избирателей депутатам Думы Ханты-Мансийского автономного округа - Югры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(+) 0,2 тыс. рублей - увеличен объем бюджетных ассигнований на организацию летнего отдыха, оздоровления, занятости детей, подростков и молодежи (благотворительные пожертвования ПАО " СН-МНГ" - остаток неиспользованных средств 2022 года) 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163,4 тыс. рублей - увеличен объем бюджетных ассигнований на заработную плату и начисления на выплаты по оплате труда за исполнение обязанностей заместителя главы города (средства местного бюджета);                                                                                                                                   (-) 678,9 тыс. рублей - уменьшен объем бюджетных ассигнований за счет перераспределения на реализацию мероприятий в области образования;                                                                                                     (+) 2 000,0 тыс. рублей - увеличен объем бюджетных ассигнований на организацию летнего отдыха, оздоровления, занятости детей, подростков и молодежи (средства местного бюджета);                                                                                                                                                                          (+) 3 985,0 тыс. рублей - увеличен объем бюджетных ассигнований на реализацию инициативного проекта "Центр детских научных инициатив" МАОУ СОШ №5 «Гимназия» (средства бюджета автономного округа;                                                                                                                                                                                (+) 1 528,2   тыс. рублей -  увеличен объем бюджетных ассигнований в целях обеспечения доли софинансирования средств, направленных на реализацию инициативного проекта "Центр детских научных инициатив" МАОУ СОШ №5 «Гимназия»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180,0 тыс. рублей - увеличен объем бюджетных ассигнований  в целях обеспечения доли софинансирования средств, направленных на реализацию инициативного проекта "Центр детских научных инициатив" МАОУ СОШ №5 «Гимназия» (инициативные платежи).    </t>
  </si>
  <si>
    <t>(+) 4 119,2 - тыс. рублей увеличен объем бюджетных ассигнований на финансирование наказов избирателей депутатам Думы Ханты-Мансийского автономного округа - Югры (средства бюджета автономного округа);                                                                                                                         (-) 678,9 тыс. рублей - уменьшен объем бюджетных ассигнований за счет перераспределения на реализацию мероприятий в области образования.</t>
  </si>
  <si>
    <t xml:space="preserve"> (+) 678,9 тыс. рублей - увеличен объем бюджетных ассигнований за счет перераспределения на реализацию мероприятий в области образования.</t>
  </si>
  <si>
    <t>(-) 406,4 тыс. рублей - уменьшен объем бюджетных ассигнований за счет перераспределения  для заключения муниципального контракта на проведение авторского надзора по объекту «Капитального ремонта здания корпуса №1 «МАОУ СОШ №4», необходимого в рамках СП 246.1325800.2016 «Положение об авторском надзоре за строительством зданий и сооружений»;                                                                                                             (+) 678,9 тыс. рублей - увеличен объем бюджетных ассигнований за счет перераспределения на реализацию мероприятий в области образования.</t>
  </si>
  <si>
    <t xml:space="preserve">(+) 250,5 тыс. рублей - увеличен объем бюджетных ассигнований за счет перераспределения на реализацию программных мероприятий (средства местного бюджета);                                                                                                                                                                                                      (+) 17 529,1 тыс. рублей - увеличен объем бюджетных ассигнований на выполнение мероприятий, по выявленным недостаткам в ходе проведения внепланового обследования состояния антитеррористической защищенности объектов (территорий) образовательных организаций (модернизация систем видеонаблюдения и дальнейшей интеграции в АПК "Безопасный город") (средства местного бюджета); (+) 33,5 тыс. рублей - увеличен объем бюджетных ассигнований за счет перераспределения на реализацию программных мероприятий (средства местного бюджета)  </t>
  </si>
  <si>
    <t>(+) 406,4 тыс. рублей - увеличен объем бюджетных ассигнований за счет перераспределения  для заключения муниципального контракта на проведение авторского надзора по объекту «Капитального ремонта здания корпуса №1 «МАОУ СОШ №4», необходимого в рамках СП 246.1325800.2016 «Положение об авторском надзоре за строительством зданий и сооружений»</t>
  </si>
  <si>
    <t>(+) 100,8 тыс. рублей - увеличен объем бюджетных ассигнований путем внутреннего перераспределения на выплату материального стимулирования народным дружинникам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(+) 130,0 тыс. рублей - увеличен объем бюджетных ассигнований путем внутреннего перераспределения между программными мероприятиями (средства местного бюджета)</t>
  </si>
  <si>
    <t>(-) 0,9 тыс. рублей - уменьшен объем бюджетных ассигнований, путем внутреннего перераспределения, в целях выплаты компенсации расходов стоимости по прохождению медицинского осмотра для вновь принятых сотрудников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208,0 тыс. рублей - уменьшен объем бюджетных ассигнований, путем внутреннего перераспределения, для выплаты заработной платы работникам учреждений (средства местного бюджета)</t>
  </si>
  <si>
    <t>(+) 259,4 тыс. рублей - увеличен объем бюджетных ассигнований, путем перераспределения, для заключения договоров по содержанию имущества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(+) 76,4 тыс. рублей - увеличен объем бюджетных ассигнований, путем перераспределения, для выплаты компенсации расходов стоимости по прохождению медицинского осмотра для вновь принятых сотрудников учреждения (МАУ ДО «СШ «Юность»)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0,9 тыс. рублей - увеличен объем бюджетных ассигнований, путем внутреннего перераспределения, в целях выплаты компенсации расходов стоимости по прохождению медицинского осмотра для вновь принятых сотрудников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111,5 тыс. рублей - увеличен объем бюджетных ассигнований, путем внутреннего перераспределения, для выплаты заработной платы работникам учреждений (средства местного бюджета)</t>
  </si>
  <si>
    <t>(+) 96,5 тыс. рублей - увеличен объем бюджетных ассигнований, путем внутреннего перераспределения, для выплаты заработной платы работникам учреждений (средства местного бюджета)</t>
  </si>
  <si>
    <t>(-) 445,0 тыс. рублей - уменьшен объем бюджетных ассигнований путем внутреннего перераспределения на первоочередные расходы (средства местного бюджета)</t>
  </si>
  <si>
    <t xml:space="preserve">(+) 1 956,6 тыс. рублей - увеличен объем бюджетных ассигнований путем внутреннего перераспределения на реализацию программных мероприятий по обеспечению комплексной безопасности образовательных организаций (средства местного бюджета);  </t>
  </si>
  <si>
    <t xml:space="preserve">(+) 2 729,2 тыс. рублей - увеличен объем бюджетных ассигнований путем внутреннего перераспределения на реализацию программных мероприятий по приведению в нормативное состояние антитеррористической защищенности объектов (территорий) образовательных организаций (средства местного бюджета);  </t>
  </si>
  <si>
    <t>(-) 11 831,8 тыс. рублей - уменьшен объем бюджетных ассигнований путем внутреннего перераспределения на реализацию программных мероприятий (средства местного бюджета);                                (-) 9 001,8 тыс. рублей - уменьшен объем бюджетных ассигнований на выплату ежемесячного денежного вознаграждения за классное руководство педагогическим работникам государственных и муниципальных образовательных организаций (средства федерального бюджета);                                                                                                                                                                              (-) 1 047,4 тыс. рублей - уменьшен объем бюджетных ассигнований на обеспечение государственных гарантий на получение образования (средства окружного бюджета);                                  (-) 6,4 тыс. рублей - уменьшен объем бюджетных ассигнований на выплату ежемесячного денежного вознаграждения советникам директоров по воспитанию и взаимодействию с детскими общественными объединениями (средства федерального бюджета)</t>
  </si>
  <si>
    <t>(-) 500,0 тыс. рублей - уменьшен объем бюджетных ассигнований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(средства окружного бюджета)</t>
  </si>
  <si>
    <t>(-) 7 647,7 тыс. рублей -  уменьшен объем бюджетных ассигнований  на организацию бесплатного горячего питания (средства федерального и окружного бюджетов);                                                                                                                    (-) 299,9  тыс. рублей -  уменьшен объем бюджетных ассигнований на социальную поддержку  отдельных категорий обучающихся (средства окружного бюджета)</t>
  </si>
  <si>
    <t>(-) 37,1 тыс. рублей - уменьшен объем бюджетных ассигнований на осуществление полномочий по созданию и обеспечению деятельности административных комиссий (средства бюджета автономного округа)</t>
  </si>
  <si>
    <t>(-) 3,5 тыс. рублей - уменьшен объем бюджетных ассигнований путем внутреннего перераспределения на приобретение основных средств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37,1 тыс. рублей - уменьшен объем бюджетных ассигнований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 (средства бюджета автономного округа)</t>
  </si>
  <si>
    <t xml:space="preserve">(+) 554,9 тыс. рублей - увеличен объем бюджетных ассигнований путем внутреннего перераспределения на выполнение работ по устройству покрытия проезда по ул. Сосновая в пгт. Высокий (средства местного бюджета);
(+) 258,1 тыс. рублей - увеличен объем бюджетных ассигнований путем внутреннего перераспределения на выполнение работ по ремонту тротуара к остановке мкр. «Новый» в г. Мегионе (средства местного бюджета);
(+) 599,5 тыс. рублей - увеличен объем бюджетных ассигнований путем внутреннего перераспределения на выполнение работ по обвалованию, восстановлению насыпи автомобильной дороги по ул. Озерная в г. Мегионе (средства местного бюджета);
(-) 3 000,0 тыс. рублей - уменьшен объем бюджетных ассигнований путем внутреннего перераспределения на поставку электроэнергии на уличное освещение (средства местного бюджета);                                                                                                                                                                                                 (-) 99,5 тыс. рублей - уменьшен объем бюджетных ассигнований путем внутреннего перераспределения на приобретение жестких дисков для системных блоков (средства местного бюджета);                                                                                                                                                            (+) 1 650,0 тыс. рублей - увеличен объем бюджетных ассигнований путем внутреннего перераспределения на приобретение теплых автобусных остановок (средства местного бюджета);     </t>
  </si>
  <si>
    <t>(-) 4 940,9 тыс. рублей - уменьшен объем бюджетных ассигнований путем внутреннего перераспределения для исполнения требования Департамента строительства и жилищно-коммунального комплекса ХМАО – Югры о возврате средств ППК «Фонд развития территорий»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4 540,8 тыс. рублей -  уменьшен объем бюджетных ассигнований путем внутреннего перераспределения в целях обеспечения возврата средств по требованию Департамента строительства и архитектуры Ханты-Мансийского автономного округа - Югры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1 065,2 тыс. рублей - уменьшен объем бюджетных ассигнований путем внутреннего перераспределения на приобретение основных средств, оказание услуг энергоснабжения, обустройство контейнерных площадок (средства местного бюджета);                                                                                              (-) 543,1 тыс. рублей - уменьшен объем бюджетных ассигнований путем внутреннего перераспределения на приобретение теплых автобусных остановок (средства местного бюджета)</t>
  </si>
  <si>
    <t>(-) 118,9 тыс. рублей - уменьшен объем бюджетных ассигнований путем внутреннего перераспределения на приобретение теплых автобусных остановок (средства местного бюджета)</t>
  </si>
  <si>
    <t>(-) 771,7 тыс. рублей - уменьшен объем бюджетных ассигнований на возмещение недополученных доходов организациям, осуществляющим реализацию населению сжиженного газа по социально-ориентированным розничным ценам (средства бюджета автономного округа)</t>
  </si>
  <si>
    <r>
      <t xml:space="preserve">(-) 1,4 тыс. рублей - уменьшен объем бюджетных ассигнований путем внутреннего перераспределения на приобретение жестких дисков для системных блоков и многофункциональных устройств (средства местного бюджета);                                                                                (-) 504,0 тыс. рублей - уменьшен объем бюджетных ассигнований на обеспечение мероприятий по модернизации систем коммунальной инфраструктуры за счет средств, поступивших от публично-правовой компании «Фонд развития территорий»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710,8 тыс. рублей - уменьшен объем бюджетных ассигнований на обеспечение мероприятий по модернизации систем коммунальной инфраструктуры за счет средств ХМАО-Югры (средства бюджета автономного округа);                                                                                                                              (-) 20 901,5 тыс. рублей - уменьшен объем бюджетных ассигнований на 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(средства бюджета автономного округа);                   </t>
    </r>
    <r>
      <rPr>
        <sz val="8"/>
        <color rgb="FFFF0000"/>
        <rFont val="Times New Roman"/>
        <family val="1"/>
        <charset val="204"/>
      </rPr>
      <t xml:space="preserve">                                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</si>
  <si>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(-) 9 001,8 тыс. рублей - уменьшен объем бюджетных ассигнований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(средства федерального бюджета);                                                                                                                                                                            (-) 1 047,4 тыс. рублей - уменьшен объем бюджетных ассигнований на обеспечение государственных гарантий на получение образования и осуществление переданных органам местного самоуправления муниципальных образований Ханты-Мансийского автономного округа – Югры отдельных государственных полномочий в области образования (средства бюджета автономного округа);                                                                                                                                                         (-) 6,4 тыс. рублей -уменьшен объем бюджетных ассигнований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 (средства федерального бюджета);                                                                                                                                                               (-) 500,0 тыс. рублей - уменьшен объем бюджетных ассигнований на 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 (средства бюджета автономного округа);                                                                                                                                                                                  (-) 7 647,7 тыс. рублей - уменьшен объем бюджетных ассигнований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бюджета автономного округа – 4 588,6 тыс. рублей, средства федерального бюджета -  3 059,1 тыс. рублей);                                                                              (-) 299,9  тыс. рублей - уменьшен объем бюджетных ассигнований на социальную поддержку  отдельных категорий обучающихся (средства окружного бюджета);                                                                  (-) 11 454,3 тыс. рублей - уменьшен объем бюджетных ассигнований путем внутреннего перераспределения на реализацию программных мероприятий (средства местного бюджета);    </t>
  </si>
  <si>
    <t xml:space="preserve">(-) 660,1 тыс. рублей - уменьшен объем бюджетных ассигнований путем внутреннего перераспределения на первоочередные расходы (средства местного бюджета)  </t>
  </si>
  <si>
    <t>(-) 660,1 тыс. рублей - уменьшен объем бюджетных ассигнований путем внутреннего перераспределения на первоочередные расходы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600,0 тыс. рублей - уменьшен объем резервного фонда путем внутреннего перераспределения на ликвидацию эпизоотического очага бешенства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21 254,3 тыс. рублей - увеличен объем бюджетных ассигнований  в целях исполнения требования Департамента строительства и жилищно-коммунального комплекса ХМАО – Югры о возврате средств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1 433,9 тыс. рублей - увеличен объем бюджетных ассигнований путем внутреннего перераспределения на исполнение исполнительных документов, оплату исполнительного сбора (средства местного бюджета);                                                                                                                                                                                                                                 (+) 180,0 тыс. рублей - увеличен объем бюджетных ассигнований за счет бюджетных ассигнований резервного фонда Правительства Ханты-Мансийского автономного округа – Югры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150,0 тыс. рублей - увеличен объем бюджетных ассигнований путем внутреннего перераспределения в целях проведения судебной оценочной экспертизы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12,1 тыс. рублей - увеличен объем бюджетных ассигнований путем перераспределения на реализацию мероприятий по содействию трудоустройству граждан (реализация мероприятий по организации проведения оплачиваемых общественных работ) (средства бюджета автономного округа)</t>
  </si>
  <si>
    <t xml:space="preserve">(-) 873,0 тыс. рублей - уменьшен объем бюджетных ассигнований путем внутреннего перераспределения на приобретение теплых автобусных остановок (средства местного бюджета);  </t>
  </si>
  <si>
    <t xml:space="preserve">(-) 115,0 тыс. рублей - уменьшен объем бюджетных ассигнований путем внутреннего перераспределения на приобретение теплых автобусных остановок (средства местного бюджета);  </t>
  </si>
  <si>
    <t>(-) 988,0 тыс. рублей - уменьшен объем бюджетных ассигнований путем внутреннего перераспределения на приобретение теплых автобусных остановок (средства местного бюджета)</t>
  </si>
  <si>
    <t>(-) 319,5 тыс. рублей - уменьшен объем бюджетных ассигнований путем внутреннего перераспределения на компенсацию расходов на оплату стоимости проезда и провоза багажа к месту использования отпуска и обратно, выполнение работ по установке и замене индивидуальных узлов учета энергоресурсов, приобретение жестких дисков для системных блоков (средства местного бюджета)</t>
  </si>
  <si>
    <t>(-) 319,5 тыс. рублей - уменьшен объем бюджетных ассигнований путем внутреннего перераспределения на первоочередные расходы (средства местного бюджета)</t>
  </si>
  <si>
    <t>(+) 10 550,7 тыс. рублей - увеличен объем бюджетных ассигнований путем внутреннего перераспределения в части средств на реализацию мероприятий в области строительства и жилищных отношений в соответствии с заключенным дополнительным соглашением №3 (5-ЕС/2024) к соглашению о предоставлении субсидии местному бюджету из бюджета Ханты-Мансийского автономного округа – Югры (средства местного бюджета - 738,5 тыс. рублей, средства бюджета автономного округа - 9 812,2 тыс. рублей)</t>
  </si>
  <si>
    <t xml:space="preserve">(+) 554,9 тыс. рублей - увеличен объем бюджетных ассигнований путем внутреннего перераспределения на выполнение работ по устройству покрытия проезда по ул. Сосновая в пгт. Высокий (средства местного бюджета);
(+) 258,1 тыс. рублей - увеличен объем бюджетных ассигнований путем внутреннего перераспределения на выполнение работ по ремонту тротуара к остановке мкр. «Новый» в г. Мегионе (средства местного бюджета);
(+) 599,5 тыс. рублей - увеличен объем бюджетных ассигнований путем внутреннего перераспределения на выполнение работ по обвалованию, восстановлению насыпи автомобильной дороги по ул. Озерная в г. Мегионе (средства местного бюджета);
(-) 3 000,0 тыс. рублей - уменьшен объем бюджетных ассигнований путем внутреннего перераспределения на поставку электроэнергии на уличное освещение (средства местного бюджета);                                                                                                                                                                                                 (-) 99,5 тыс. рублей - уменьшен объем бюджетных ассигнований путем внутреннего перераспределения на приобретение жестких дисков для системных блоков (средства местного бюджета);                                                                                                                                                            (+) 1 650,0 тыс. рублей - увеличен объем бюджетных ассигнований путем внутреннего перераспределения на приобретение теплых автобусных остановок (средства местного бюджета)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</si>
  <si>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(+) 600,0 тыс. рублей - увеличен объем бюджетных ассигнований путем внутреннего перераспределения на ликвидацию эпизоотического очага бешенства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368,3 тыс. рублей - уменьшен объем бюджетных ассигнований путем внутреннего перераспределения в части средств на реализацию мероприятий в области строительства и жилищных отношений в соответствии с заключенным дополнительным соглашением №3 (5-ЕС/2024) к соглашению о предоставлении субсидии местному бюджету из бюджета Ханты-Мансийского автономного округа – Югры (средства местного бюджета - 25,8 тыс. рублей, средства бюджета автономного округа - 342,5 тыс. рублей);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556,0 тыс. рублей - увеличен объем бюджетных ассигнований путем внутреннего перераспределения на обслуживание сетей уличного освещения (средства местного бюджета);                                                                                                                                                                            (+) 3 000,0 тыс. рублей - увеличен объем бюджетных ассигнований путем внутреннего перераспределения на потребление электроэнергии на уличное освещение (средства местного бюджета);                                                                                                                                                                              (-) 42,3 тыс. рублей - уменьшен объем бюджетных ассигнований путем внутреннего перераспределения на приобретение жестких дисков для системных блоков и многофункциональных устройств (средства местного бюджета);                                                                                                                                                    (-) 203,1 тыс. рублей - уменьшен объем бюджетных ассигнований путем внутреннего перераспределения на оплату административного штрафа, выполнение работ по установке и замене индивидуальных узлов учета энергоресурсов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586,4 тыс. рублей - уменьшен объем бюджетных ассигнований путем внутреннего перераспределения на заработную плату и начисления на оплату труда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(-) 118,9 тыс. рублей - уменьшен объем бюджетных ассигнований путем внутреннего перераспределения на приобретение теплых автобусных остановок (средства местного бюджета)</t>
  </si>
  <si>
    <t xml:space="preserve">(-) 1,4 тыс. рублей - уменьшен объем бюджетных ассигнований путем внутреннего перераспределения на приобретение жестких дисков для системных блоков и многофункциональных устройств (средства местного бюджета);                                                                                (-) 504,0 тыс. рублей - уменьшен объем бюджетных ассигнований на обеспечение мероприятий по модернизации систем коммунальной инфраструктуры за счет средств, поступивших от публично-правовой компании «Фонд развития территорий»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710,8 тыс. рублей - уменьшен объем бюджетных ассигнований на обеспечение мероприятий по модернизации систем коммунальной инфраструктуры за счет средств ХМАО-Югры (средства бюджета автономного округа);                                                                                                                              (-) 20 901,5 тыс. рублей - уменьшен объем бюджетных ассигнований на 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771,7 тыс. рублей - уменьшен объем бюджетных ассигнований на возмещение недополученных доходов организациям, осуществляющим реализацию населению сжиженного газа по социально-ориентированным розничным ценам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119 441,8 тыс. рублей - увеличен объем целевых межбюджетных трансфертов на реализацию мероприятий за счет бюджетных ассигнований резервного фонда Правительства ХМАО – Югры на финансовое обеспечение непредвиденных расходов, в целях оплаты задолженности организаций коммунального комплекса за потребленный газ (средства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119 441,7 тыс. рублей - увеличен объем бюджетных ассигнований на финансовое обеспечение затрат юридическим лицам (за исключением муниципальных учреждений), осуществляющим свою деятельность в сфере теплоснабжения, водоснабжения и водоотведения и оказывающим коммунальные услуги населению города Мегиона, связанных с погашением задолженности за потребленные топливно-энергетические ресурсы (средства местного бюджета)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</si>
</sst>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.0.00.00000"/>
    <numFmt numFmtId="165" formatCode="#,##0.0"/>
  </numFmts>
  <fonts count="14" x14ac:knownFonts="1">
    <font>
      <sz val="10"/>
      <name val="Arial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7.5"/>
      <name val="Times New Roman"/>
      <family val="1"/>
      <charset val="204"/>
    </font>
    <font>
      <sz val="7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0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hidden="1"/>
    </xf>
    <xf numFmtId="0" fontId="4" fillId="0" borderId="0" xfId="0" applyFont="1" applyFill="1"/>
    <xf numFmtId="0" fontId="4" fillId="0" borderId="0" xfId="0" applyNumberFormat="1" applyFont="1" applyFill="1" applyAlignment="1" applyProtection="1">
      <alignment wrapText="1"/>
      <protection hidden="1"/>
    </xf>
    <xf numFmtId="0" fontId="4" fillId="0" borderId="0" xfId="0" applyFont="1" applyFill="1" applyBorder="1" applyProtection="1">
      <protection hidden="1"/>
    </xf>
    <xf numFmtId="0" fontId="6" fillId="0" borderId="4" xfId="0" applyFont="1" applyFill="1" applyBorder="1" applyProtection="1">
      <protection hidden="1"/>
    </xf>
    <xf numFmtId="0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/>
    <xf numFmtId="0" fontId="4" fillId="0" borderId="4" xfId="0" applyFont="1" applyFill="1" applyBorder="1" applyProtection="1">
      <protection hidden="1"/>
    </xf>
    <xf numFmtId="0" fontId="7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0" applyNumberFormat="1" applyFont="1" applyFill="1" applyBorder="1" applyAlignment="1" applyProtection="1">
      <protection hidden="1"/>
    </xf>
    <xf numFmtId="0" fontId="8" fillId="0" borderId="25" xfId="0" applyNumberFormat="1" applyFont="1" applyFill="1" applyBorder="1" applyAlignment="1" applyProtection="1">
      <protection hidden="1"/>
    </xf>
    <xf numFmtId="0" fontId="4" fillId="0" borderId="0" xfId="0" applyNumberFormat="1" applyFont="1" applyFill="1" applyAlignment="1" applyProtection="1">
      <protection hidden="1"/>
    </xf>
    <xf numFmtId="0" fontId="4" fillId="0" borderId="0" xfId="0" applyNumberFormat="1" applyFont="1" applyFill="1" applyBorder="1" applyAlignment="1" applyProtection="1">
      <protection hidden="1"/>
    </xf>
    <xf numFmtId="0" fontId="9" fillId="0" borderId="0" xfId="0" applyFont="1" applyFill="1" applyProtection="1">
      <protection hidden="1"/>
    </xf>
    <xf numFmtId="0" fontId="9" fillId="0" borderId="0" xfId="0" applyFont="1" applyFill="1"/>
    <xf numFmtId="165" fontId="5" fillId="0" borderId="10" xfId="0" applyNumberFormat="1" applyFont="1" applyFill="1" applyBorder="1" applyAlignment="1" applyProtection="1">
      <alignment horizontal="right" vertical="center"/>
      <protection hidden="1"/>
    </xf>
    <xf numFmtId="165" fontId="7" fillId="0" borderId="6" xfId="0" applyNumberFormat="1" applyFont="1" applyFill="1" applyBorder="1" applyAlignment="1" applyProtection="1">
      <alignment horizontal="right" vertical="center"/>
      <protection hidden="1"/>
    </xf>
    <xf numFmtId="165" fontId="5" fillId="0" borderId="6" xfId="0" applyNumberFormat="1" applyFont="1" applyFill="1" applyBorder="1" applyAlignment="1" applyProtection="1">
      <alignment horizontal="right" vertical="center"/>
      <protection hidden="1"/>
    </xf>
    <xf numFmtId="165" fontId="7" fillId="0" borderId="7" xfId="0" applyNumberFormat="1" applyFont="1" applyFill="1" applyBorder="1" applyAlignment="1" applyProtection="1">
      <alignment horizontal="right" vertical="center"/>
      <protection hidden="1"/>
    </xf>
    <xf numFmtId="165" fontId="7" fillId="0" borderId="7" xfId="0" applyNumberFormat="1" applyFont="1" applyFill="1" applyBorder="1" applyAlignment="1">
      <alignment horizontal="right" vertical="center"/>
    </xf>
    <xf numFmtId="165" fontId="7" fillId="0" borderId="6" xfId="0" applyNumberFormat="1" applyFont="1" applyFill="1" applyBorder="1" applyAlignment="1">
      <alignment horizontal="right" vertical="center"/>
    </xf>
    <xf numFmtId="165" fontId="5" fillId="0" borderId="25" xfId="0" applyNumberFormat="1" applyFont="1" applyFill="1" applyBorder="1" applyAlignment="1" applyProtection="1">
      <alignment horizontal="right" vertical="center"/>
      <protection hidden="1"/>
    </xf>
    <xf numFmtId="49" fontId="7" fillId="0" borderId="6" xfId="0" applyNumberFormat="1" applyFont="1" applyFill="1" applyBorder="1" applyAlignment="1" applyProtection="1">
      <alignment horizontal="center" vertical="center" wrapText="1"/>
      <protection hidden="1"/>
    </xf>
    <xf numFmtId="164" fontId="7" fillId="0" borderId="9" xfId="0" applyNumberFormat="1" applyFont="1" applyFill="1" applyBorder="1" applyAlignment="1" applyProtection="1">
      <alignment vertical="center" wrapText="1"/>
      <protection hidden="1"/>
    </xf>
    <xf numFmtId="164" fontId="7" fillId="0" borderId="8" xfId="0" applyNumberFormat="1" applyFont="1" applyFill="1" applyBorder="1" applyAlignment="1" applyProtection="1">
      <alignment vertical="center" wrapText="1"/>
      <protection hidden="1"/>
    </xf>
    <xf numFmtId="0" fontId="4" fillId="0" borderId="23" xfId="0" applyNumberFormat="1" applyFont="1" applyFill="1" applyBorder="1" applyAlignment="1" applyProtection="1">
      <alignment vertical="center"/>
      <protection hidden="1"/>
    </xf>
    <xf numFmtId="0" fontId="4" fillId="0" borderId="22" xfId="0" applyNumberFormat="1" applyFont="1" applyFill="1" applyBorder="1" applyAlignment="1" applyProtection="1">
      <alignment vertical="center"/>
      <protection hidden="1"/>
    </xf>
    <xf numFmtId="0" fontId="4" fillId="0" borderId="3" xfId="0" applyNumberFormat="1" applyFont="1" applyFill="1" applyBorder="1" applyAlignment="1" applyProtection="1">
      <alignment vertical="center"/>
      <protection hidden="1"/>
    </xf>
    <xf numFmtId="165" fontId="5" fillId="0" borderId="7" xfId="0" applyNumberFormat="1" applyFont="1" applyFill="1" applyBorder="1" applyAlignment="1" applyProtection="1">
      <alignment horizontal="right" vertical="center"/>
      <protection hidden="1"/>
    </xf>
    <xf numFmtId="0" fontId="7" fillId="0" borderId="0" xfId="0" applyFont="1" applyBorder="1" applyAlignment="1">
      <alignment vertical="top" wrapText="1"/>
    </xf>
    <xf numFmtId="0" fontId="7" fillId="0" borderId="6" xfId="0" applyFont="1" applyFill="1" applyBorder="1" applyAlignment="1">
      <alignment vertical="top"/>
    </xf>
    <xf numFmtId="0" fontId="5" fillId="0" borderId="6" xfId="0" applyFont="1" applyFill="1" applyBorder="1" applyAlignment="1">
      <alignment vertical="top"/>
    </xf>
    <xf numFmtId="0" fontId="7" fillId="0" borderId="6" xfId="0" applyFont="1" applyFill="1" applyBorder="1" applyAlignment="1">
      <alignment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0" borderId="26" xfId="0" applyFont="1" applyFill="1" applyBorder="1" applyAlignment="1">
      <alignment vertical="top"/>
    </xf>
    <xf numFmtId="0" fontId="7" fillId="0" borderId="27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/>
    </xf>
    <xf numFmtId="165" fontId="5" fillId="0" borderId="28" xfId="0" applyNumberFormat="1" applyFont="1" applyFill="1" applyBorder="1" applyAlignment="1" applyProtection="1">
      <alignment horizontal="right" vertical="center"/>
      <protection hidden="1"/>
    </xf>
    <xf numFmtId="0" fontId="6" fillId="0" borderId="29" xfId="0" applyFont="1" applyFill="1" applyBorder="1"/>
    <xf numFmtId="0" fontId="4" fillId="0" borderId="27" xfId="0" applyFont="1" applyFill="1" applyBorder="1"/>
    <xf numFmtId="0" fontId="6" fillId="0" borderId="27" xfId="0" applyFont="1" applyFill="1" applyBorder="1"/>
    <xf numFmtId="0" fontId="7" fillId="0" borderId="27" xfId="0" applyFont="1" applyFill="1" applyBorder="1" applyAlignment="1">
      <alignment wrapText="1"/>
    </xf>
    <xf numFmtId="0" fontId="7" fillId="0" borderId="27" xfId="0" applyFont="1" applyFill="1" applyBorder="1" applyAlignment="1">
      <alignment horizontal="justify" vertical="center"/>
    </xf>
    <xf numFmtId="0" fontId="7" fillId="0" borderId="27" xfId="0" applyFont="1" applyFill="1" applyBorder="1"/>
    <xf numFmtId="0" fontId="7" fillId="0" borderId="27" xfId="0" applyFont="1" applyFill="1" applyBorder="1" applyAlignment="1">
      <alignment vertical="center" wrapText="1"/>
    </xf>
    <xf numFmtId="0" fontId="7" fillId="0" borderId="27" xfId="0" applyFont="1" applyFill="1" applyBorder="1" applyAlignment="1">
      <alignment horizontal="justify"/>
    </xf>
    <xf numFmtId="165" fontId="5" fillId="0" borderId="30" xfId="0" applyNumberFormat="1" applyFont="1" applyFill="1" applyBorder="1" applyAlignment="1" applyProtection="1">
      <alignment horizontal="right" vertical="center"/>
      <protection hidden="1"/>
    </xf>
    <xf numFmtId="0" fontId="4" fillId="0" borderId="31" xfId="0" applyFont="1" applyFill="1" applyBorder="1"/>
    <xf numFmtId="165" fontId="11" fillId="0" borderId="7" xfId="0" applyNumberFormat="1" applyFont="1" applyFill="1" applyBorder="1" applyAlignment="1" applyProtection="1">
      <alignment horizontal="right" vertical="center"/>
      <protection hidden="1"/>
    </xf>
    <xf numFmtId="0" fontId="12" fillId="0" borderId="27" xfId="0" applyFont="1" applyFill="1" applyBorder="1" applyAlignment="1">
      <alignment vertical="top" wrapText="1"/>
    </xf>
    <xf numFmtId="0" fontId="7" fillId="0" borderId="27" xfId="0" applyFont="1" applyFill="1" applyBorder="1" applyAlignment="1">
      <alignment horizontal="left" vertical="center" wrapText="1"/>
    </xf>
    <xf numFmtId="165" fontId="7" fillId="0" borderId="27" xfId="0" applyNumberFormat="1" applyFont="1" applyFill="1" applyBorder="1" applyAlignment="1">
      <alignment vertical="center" wrapText="1"/>
    </xf>
    <xf numFmtId="0" fontId="3" fillId="0" borderId="0" xfId="2" applyFont="1" applyFill="1" applyAlignment="1">
      <alignment horizontal="right"/>
    </xf>
    <xf numFmtId="0" fontId="4" fillId="0" borderId="27" xfId="0" applyFont="1" applyFill="1" applyBorder="1" applyAlignment="1">
      <alignment wrapText="1"/>
    </xf>
    <xf numFmtId="164" fontId="7" fillId="0" borderId="7" xfId="0" applyNumberFormat="1" applyFont="1" applyFill="1" applyBorder="1" applyAlignment="1" applyProtection="1">
      <alignment vertical="center" wrapText="1"/>
      <protection hidden="1"/>
    </xf>
    <xf numFmtId="164" fontId="7" fillId="0" borderId="6" xfId="0" applyNumberFormat="1" applyFont="1" applyFill="1" applyBorder="1" applyAlignment="1" applyProtection="1">
      <alignment vertical="center" wrapText="1"/>
      <protection hidden="1"/>
    </xf>
    <xf numFmtId="164" fontId="7" fillId="0" borderId="5" xfId="0" applyNumberFormat="1" applyFont="1" applyFill="1" applyBorder="1" applyAlignment="1" applyProtection="1">
      <alignment vertical="center" wrapText="1"/>
      <protection hidden="1"/>
    </xf>
    <xf numFmtId="164" fontId="7" fillId="0" borderId="24" xfId="0" applyNumberFormat="1" applyFont="1" applyFill="1" applyBorder="1" applyAlignment="1" applyProtection="1">
      <alignment vertical="center" wrapText="1"/>
      <protection hidden="1"/>
    </xf>
    <xf numFmtId="0" fontId="7" fillId="0" borderId="4" xfId="0" applyFont="1" applyBorder="1" applyAlignment="1">
      <alignment wrapText="1"/>
    </xf>
    <xf numFmtId="0" fontId="7" fillId="0" borderId="27" xfId="0" applyFont="1" applyBorder="1" applyAlignment="1">
      <alignment wrapText="1"/>
    </xf>
    <xf numFmtId="49" fontId="7" fillId="0" borderId="27" xfId="0" applyNumberFormat="1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10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NumberFormat="1" applyFont="1" applyFill="1" applyAlignment="1" applyProtection="1">
      <alignment horizontal="center" wrapText="1"/>
      <protection hidden="1"/>
    </xf>
    <xf numFmtId="164" fontId="5" fillId="0" borderId="11" xfId="0" applyNumberFormat="1" applyFont="1" applyFill="1" applyBorder="1" applyAlignment="1" applyProtection="1">
      <alignment vertical="center" wrapText="1"/>
      <protection hidden="1"/>
    </xf>
    <xf numFmtId="164" fontId="5" fillId="0" borderId="8" xfId="0" applyNumberFormat="1" applyFont="1" applyFill="1" applyBorder="1" applyAlignment="1" applyProtection="1">
      <alignment vertical="center" wrapText="1"/>
      <protection hidden="1"/>
    </xf>
    <xf numFmtId="0" fontId="5" fillId="0" borderId="21" xfId="0" applyNumberFormat="1" applyFont="1" applyFill="1" applyBorder="1" applyAlignment="1" applyProtection="1">
      <alignment horizontal="center" vertical="top" wrapText="1"/>
      <protection hidden="1"/>
    </xf>
    <xf numFmtId="0" fontId="10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9" xfId="0" applyNumberFormat="1" applyFont="1" applyFill="1" applyBorder="1" applyAlignment="1" applyProtection="1">
      <alignment horizontal="center" vertical="top" wrapText="1"/>
      <protection hidden="1"/>
    </xf>
    <xf numFmtId="0" fontId="10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7" fillId="0" borderId="7" xfId="0" applyNumberFormat="1" applyFont="1" applyFill="1" applyBorder="1" applyAlignment="1" applyProtection="1">
      <alignment vertical="center" wrapText="1"/>
      <protection hidden="1"/>
    </xf>
    <xf numFmtId="0" fontId="10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0" xfId="0" applyNumberFormat="1" applyFont="1" applyFill="1" applyBorder="1" applyAlignment="1" applyProtection="1">
      <alignment horizontal="center" vertical="top" wrapText="1"/>
      <protection hidden="1"/>
    </xf>
    <xf numFmtId="0" fontId="5" fillId="0" borderId="18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6" xfId="0" applyNumberFormat="1" applyFont="1" applyFill="1" applyBorder="1" applyAlignment="1" applyProtection="1">
      <alignment vertical="center" wrapText="1"/>
      <protection hidden="1"/>
    </xf>
    <xf numFmtId="164" fontId="7" fillId="0" borderId="5" xfId="0" applyNumberFormat="1" applyFont="1" applyFill="1" applyBorder="1" applyAlignment="1" applyProtection="1">
      <alignment vertical="center" wrapText="1"/>
      <protection hidden="1"/>
    </xf>
    <xf numFmtId="164" fontId="7" fillId="0" borderId="24" xfId="0" applyNumberFormat="1" applyFont="1" applyFill="1" applyBorder="1" applyAlignment="1" applyProtection="1">
      <alignment vertical="center" wrapText="1"/>
      <protection hidden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8"/>
  <sheetViews>
    <sheetView showGridLines="0" tabSelected="1" topLeftCell="A180" zoomScale="110" zoomScaleNormal="110" workbookViewId="0">
      <selection activeCell="V122" sqref="V122"/>
    </sheetView>
  </sheetViews>
  <sheetFormatPr defaultColWidth="9.140625" defaultRowHeight="12.75" outlineLevelRow="1" x14ac:dyDescent="0.2"/>
  <cols>
    <col min="1" max="1" width="0.7109375" style="3" customWidth="1"/>
    <col min="2" max="6" width="2.7109375" style="3" hidden="1" customWidth="1"/>
    <col min="7" max="7" width="67.85546875" style="3" customWidth="1"/>
    <col min="8" max="8" width="5.28515625" style="3" customWidth="1"/>
    <col min="9" max="10" width="5.140625" style="3" customWidth="1"/>
    <col min="11" max="11" width="14.140625" style="3" hidden="1" customWidth="1"/>
    <col min="12" max="12" width="13" style="3" hidden="1" customWidth="1"/>
    <col min="13" max="13" width="15.7109375" style="3" hidden="1" customWidth="1"/>
    <col min="14" max="14" width="60" style="3" hidden="1" customWidth="1"/>
    <col min="15" max="15" width="14.5703125" style="3" hidden="1" customWidth="1"/>
    <col min="16" max="16" width="18.85546875" style="3" hidden="1" customWidth="1"/>
    <col min="17" max="17" width="14.5703125" style="3" hidden="1" customWidth="1"/>
    <col min="18" max="18" width="18.85546875" style="3" customWidth="1"/>
    <col min="19" max="19" width="65.42578125" style="3" hidden="1" customWidth="1"/>
    <col min="20" max="20" width="14.5703125" style="3" customWidth="1"/>
    <col min="21" max="21" width="18.85546875" style="3" customWidth="1"/>
    <col min="22" max="22" width="65.42578125" style="3" customWidth="1"/>
    <col min="23" max="245" width="9.140625" style="3" customWidth="1"/>
    <col min="246" max="16384" width="9.140625" style="3"/>
  </cols>
  <sheetData>
    <row r="1" spans="1:22" ht="15.75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O1" s="1"/>
      <c r="Q1" s="1"/>
      <c r="S1" s="57" t="s">
        <v>48</v>
      </c>
      <c r="T1" s="1"/>
      <c r="V1" s="57" t="s">
        <v>48</v>
      </c>
    </row>
    <row r="2" spans="1:22" ht="15.75" x14ac:dyDescent="0.25">
      <c r="A2" s="1"/>
      <c r="B2" s="1"/>
      <c r="C2" s="1"/>
      <c r="D2" s="1"/>
      <c r="E2" s="1"/>
      <c r="F2" s="1"/>
      <c r="G2" s="4"/>
      <c r="H2" s="1"/>
      <c r="I2" s="1"/>
      <c r="J2" s="1"/>
      <c r="K2" s="1"/>
      <c r="L2" s="1"/>
      <c r="O2" s="1"/>
      <c r="Q2" s="1"/>
      <c r="S2" s="57" t="s">
        <v>49</v>
      </c>
      <c r="T2" s="1"/>
      <c r="V2" s="57" t="s">
        <v>49</v>
      </c>
    </row>
    <row r="3" spans="1:22" s="17" customFormat="1" ht="27.75" customHeight="1" x14ac:dyDescent="0.25">
      <c r="A3" s="16"/>
      <c r="B3" s="16"/>
      <c r="C3" s="16"/>
      <c r="D3" s="16"/>
      <c r="E3" s="16"/>
      <c r="F3" s="16"/>
      <c r="G3" s="70" t="s">
        <v>50</v>
      </c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1:22" ht="13.5" thickBot="1" x14ac:dyDescent="0.25">
      <c r="A4" s="1"/>
      <c r="B4" s="1"/>
      <c r="C4" s="1"/>
      <c r="D4" s="5"/>
      <c r="E4" s="5"/>
      <c r="F4" s="5"/>
      <c r="G4" s="5"/>
      <c r="H4" s="1"/>
      <c r="I4" s="1"/>
      <c r="J4" s="5"/>
      <c r="K4" s="5"/>
      <c r="L4" s="1"/>
      <c r="O4" s="1"/>
      <c r="Q4" s="1"/>
      <c r="T4" s="1"/>
    </row>
    <row r="5" spans="1:22" ht="37.5" customHeight="1" thickBot="1" x14ac:dyDescent="0.25">
      <c r="A5" s="5"/>
      <c r="B5" s="88" t="s">
        <v>36</v>
      </c>
      <c r="C5" s="73" t="s">
        <v>36</v>
      </c>
      <c r="D5" s="77" t="s">
        <v>36</v>
      </c>
      <c r="E5" s="89" t="s">
        <v>36</v>
      </c>
      <c r="F5" s="89" t="s">
        <v>35</v>
      </c>
      <c r="G5" s="85" t="s">
        <v>40</v>
      </c>
      <c r="H5" s="78" t="s">
        <v>39</v>
      </c>
      <c r="I5" s="79"/>
      <c r="J5" s="74"/>
      <c r="K5" s="74" t="s">
        <v>44</v>
      </c>
      <c r="L5" s="67" t="s">
        <v>45</v>
      </c>
      <c r="M5" s="74" t="s">
        <v>251</v>
      </c>
      <c r="N5" s="67" t="s">
        <v>47</v>
      </c>
      <c r="O5" s="67" t="s">
        <v>45</v>
      </c>
      <c r="P5" s="74" t="s">
        <v>254</v>
      </c>
      <c r="Q5" s="67" t="s">
        <v>45</v>
      </c>
      <c r="R5" s="67" t="s">
        <v>334</v>
      </c>
      <c r="S5" s="67" t="s">
        <v>47</v>
      </c>
      <c r="T5" s="67" t="s">
        <v>45</v>
      </c>
      <c r="U5" s="67" t="s">
        <v>46</v>
      </c>
      <c r="V5" s="67" t="s">
        <v>47</v>
      </c>
    </row>
    <row r="6" spans="1:22" ht="11.25" customHeight="1" thickBot="1" x14ac:dyDescent="0.25">
      <c r="A6" s="5"/>
      <c r="B6" s="88"/>
      <c r="C6" s="73"/>
      <c r="D6" s="77"/>
      <c r="E6" s="89"/>
      <c r="F6" s="89"/>
      <c r="G6" s="86"/>
      <c r="H6" s="80"/>
      <c r="I6" s="81"/>
      <c r="J6" s="75"/>
      <c r="K6" s="75"/>
      <c r="L6" s="68"/>
      <c r="M6" s="75"/>
      <c r="N6" s="68"/>
      <c r="O6" s="68"/>
      <c r="P6" s="75"/>
      <c r="Q6" s="68"/>
      <c r="R6" s="68"/>
      <c r="S6" s="68"/>
      <c r="T6" s="68"/>
      <c r="U6" s="68"/>
      <c r="V6" s="68"/>
    </row>
    <row r="7" spans="1:22" ht="36" customHeight="1" thickBot="1" x14ac:dyDescent="0.25">
      <c r="A7" s="5"/>
      <c r="B7" s="88"/>
      <c r="C7" s="73"/>
      <c r="D7" s="77"/>
      <c r="E7" s="89"/>
      <c r="F7" s="89"/>
      <c r="G7" s="87"/>
      <c r="H7" s="82"/>
      <c r="I7" s="83"/>
      <c r="J7" s="76"/>
      <c r="K7" s="76"/>
      <c r="L7" s="69"/>
      <c r="M7" s="76"/>
      <c r="N7" s="69"/>
      <c r="O7" s="69"/>
      <c r="P7" s="76"/>
      <c r="Q7" s="69"/>
      <c r="R7" s="69"/>
      <c r="S7" s="69"/>
      <c r="T7" s="69"/>
      <c r="U7" s="69"/>
      <c r="V7" s="69"/>
    </row>
    <row r="8" spans="1:22" s="8" customFormat="1" ht="27" customHeight="1" x14ac:dyDescent="0.2">
      <c r="A8" s="6"/>
      <c r="B8" s="71" t="s">
        <v>37</v>
      </c>
      <c r="C8" s="71"/>
      <c r="D8" s="71"/>
      <c r="E8" s="71"/>
      <c r="F8" s="71"/>
      <c r="G8" s="71"/>
      <c r="H8" s="7" t="s">
        <v>8</v>
      </c>
      <c r="I8" s="7" t="s">
        <v>3</v>
      </c>
      <c r="J8" s="7" t="s">
        <v>3</v>
      </c>
      <c r="K8" s="18">
        <f>K9+K11+K13</f>
        <v>49967.7</v>
      </c>
      <c r="L8" s="18">
        <f>L9+L11+L13</f>
        <v>0</v>
      </c>
      <c r="M8" s="18">
        <f>M9+M11+M13</f>
        <v>49967.7</v>
      </c>
      <c r="N8" s="41"/>
      <c r="O8" s="42">
        <f>O9+O11+O13</f>
        <v>31.099999999999994</v>
      </c>
      <c r="P8" s="42">
        <f>P9+P11+P13</f>
        <v>49998.799999999996</v>
      </c>
      <c r="Q8" s="42">
        <f>Q9+Q11+Q13</f>
        <v>507.39999999999986</v>
      </c>
      <c r="R8" s="42">
        <f>R9+R11+R13</f>
        <v>50506.2</v>
      </c>
      <c r="S8" s="43"/>
      <c r="T8" s="42">
        <f>T9+T11+T13</f>
        <v>586.40000000000009</v>
      </c>
      <c r="U8" s="42">
        <f>U9+U11+U13</f>
        <v>51092.6</v>
      </c>
      <c r="V8" s="43"/>
    </row>
    <row r="9" spans="1:22" ht="50.25" customHeight="1" x14ac:dyDescent="0.2">
      <c r="A9" s="9"/>
      <c r="B9" s="26"/>
      <c r="C9" s="84" t="s">
        <v>41</v>
      </c>
      <c r="D9" s="84"/>
      <c r="E9" s="84"/>
      <c r="F9" s="84"/>
      <c r="G9" s="84"/>
      <c r="H9" s="10" t="s">
        <v>8</v>
      </c>
      <c r="I9" s="10" t="s">
        <v>13</v>
      </c>
      <c r="J9" s="10" t="s">
        <v>3</v>
      </c>
      <c r="K9" s="19">
        <f>K10</f>
        <v>2100</v>
      </c>
      <c r="L9" s="19">
        <f t="shared" ref="L9:R9" si="0">L10</f>
        <v>0</v>
      </c>
      <c r="M9" s="19">
        <f t="shared" si="0"/>
        <v>2100</v>
      </c>
      <c r="N9" s="33"/>
      <c r="O9" s="21">
        <f>O10</f>
        <v>165</v>
      </c>
      <c r="P9" s="21">
        <f t="shared" si="0"/>
        <v>2265</v>
      </c>
      <c r="Q9" s="21">
        <f>Q10</f>
        <v>-443.7</v>
      </c>
      <c r="R9" s="21">
        <f t="shared" si="0"/>
        <v>1821.3</v>
      </c>
      <c r="S9" s="40" t="s">
        <v>258</v>
      </c>
      <c r="T9" s="21">
        <f>T10</f>
        <v>-14</v>
      </c>
      <c r="U9" s="21">
        <f>R9+T9</f>
        <v>1807.3</v>
      </c>
      <c r="V9" s="40" t="s">
        <v>372</v>
      </c>
    </row>
    <row r="10" spans="1:22" ht="43.5" hidden="1" customHeight="1" outlineLevel="1" x14ac:dyDescent="0.2">
      <c r="A10" s="9"/>
      <c r="B10" s="27"/>
      <c r="C10" s="60"/>
      <c r="D10" s="84" t="s">
        <v>42</v>
      </c>
      <c r="E10" s="84"/>
      <c r="F10" s="84"/>
      <c r="G10" s="84"/>
      <c r="H10" s="10" t="s">
        <v>8</v>
      </c>
      <c r="I10" s="10" t="s">
        <v>13</v>
      </c>
      <c r="J10" s="10" t="s">
        <v>8</v>
      </c>
      <c r="K10" s="19">
        <v>2100</v>
      </c>
      <c r="L10" s="21"/>
      <c r="M10" s="22">
        <f>K10+L10</f>
        <v>2100</v>
      </c>
      <c r="N10" s="33"/>
      <c r="O10" s="21">
        <f>165</f>
        <v>165</v>
      </c>
      <c r="P10" s="22">
        <f>M10+O10</f>
        <v>2265</v>
      </c>
      <c r="Q10" s="21">
        <v>-443.7</v>
      </c>
      <c r="R10" s="22">
        <f>P10+Q10</f>
        <v>1821.3</v>
      </c>
      <c r="S10" s="40" t="s">
        <v>258</v>
      </c>
      <c r="T10" s="21">
        <v>-14</v>
      </c>
      <c r="U10" s="22">
        <f>R10+T10</f>
        <v>1807.3</v>
      </c>
      <c r="V10" s="40" t="s">
        <v>372</v>
      </c>
    </row>
    <row r="11" spans="1:22" ht="51.75" customHeight="1" collapsed="1" x14ac:dyDescent="0.2">
      <c r="A11" s="9"/>
      <c r="B11" s="26"/>
      <c r="C11" s="84" t="s">
        <v>43</v>
      </c>
      <c r="D11" s="84"/>
      <c r="E11" s="84"/>
      <c r="F11" s="84"/>
      <c r="G11" s="84"/>
      <c r="H11" s="10" t="s">
        <v>8</v>
      </c>
      <c r="I11" s="10" t="s">
        <v>9</v>
      </c>
      <c r="J11" s="10" t="s">
        <v>3</v>
      </c>
      <c r="K11" s="19">
        <f>K12</f>
        <v>1300</v>
      </c>
      <c r="L11" s="19">
        <f t="shared" ref="L11:R11" si="1">L12</f>
        <v>0</v>
      </c>
      <c r="M11" s="19">
        <f t="shared" si="1"/>
        <v>1300</v>
      </c>
      <c r="N11" s="33"/>
      <c r="O11" s="21">
        <f>O12</f>
        <v>0</v>
      </c>
      <c r="P11" s="21">
        <f t="shared" si="1"/>
        <v>1300</v>
      </c>
      <c r="Q11" s="21">
        <f>Q12</f>
        <v>-72</v>
      </c>
      <c r="R11" s="21">
        <f t="shared" si="1"/>
        <v>1228</v>
      </c>
      <c r="S11" s="40" t="s">
        <v>276</v>
      </c>
      <c r="T11" s="21">
        <f>T12</f>
        <v>-852</v>
      </c>
      <c r="U11" s="21">
        <f>U12</f>
        <v>376</v>
      </c>
      <c r="V11" s="40" t="s">
        <v>371</v>
      </c>
    </row>
    <row r="12" spans="1:22" ht="51.75" hidden="1" customHeight="1" outlineLevel="1" x14ac:dyDescent="0.2">
      <c r="A12" s="9"/>
      <c r="B12" s="27"/>
      <c r="C12" s="60"/>
      <c r="D12" s="84" t="s">
        <v>51</v>
      </c>
      <c r="E12" s="84"/>
      <c r="F12" s="84"/>
      <c r="G12" s="84"/>
      <c r="H12" s="10" t="s">
        <v>8</v>
      </c>
      <c r="I12" s="10" t="s">
        <v>9</v>
      </c>
      <c r="J12" s="10" t="s">
        <v>8</v>
      </c>
      <c r="K12" s="19">
        <v>1300</v>
      </c>
      <c r="L12" s="21"/>
      <c r="M12" s="22">
        <f>K12+L12</f>
        <v>1300</v>
      </c>
      <c r="N12" s="33"/>
      <c r="O12" s="21"/>
      <c r="P12" s="22">
        <f>M12+O12</f>
        <v>1300</v>
      </c>
      <c r="Q12" s="21">
        <v>-72</v>
      </c>
      <c r="R12" s="22">
        <f>P12+Q12</f>
        <v>1228</v>
      </c>
      <c r="S12" s="40" t="s">
        <v>255</v>
      </c>
      <c r="T12" s="21">
        <v>-852</v>
      </c>
      <c r="U12" s="22">
        <f>R12+T12</f>
        <v>376</v>
      </c>
      <c r="V12" s="40" t="s">
        <v>371</v>
      </c>
    </row>
    <row r="13" spans="1:22" ht="59.25" customHeight="1" collapsed="1" x14ac:dyDescent="0.2">
      <c r="A13" s="9"/>
      <c r="B13" s="26"/>
      <c r="C13" s="84" t="s">
        <v>52</v>
      </c>
      <c r="D13" s="84"/>
      <c r="E13" s="84"/>
      <c r="F13" s="84"/>
      <c r="G13" s="84"/>
      <c r="H13" s="10" t="s">
        <v>8</v>
      </c>
      <c r="I13" s="10" t="s">
        <v>15</v>
      </c>
      <c r="J13" s="10" t="s">
        <v>3</v>
      </c>
      <c r="K13" s="19">
        <f>K14+K15</f>
        <v>46567.7</v>
      </c>
      <c r="L13" s="19">
        <f>L14+L15</f>
        <v>0</v>
      </c>
      <c r="M13" s="19">
        <f>M14+M15</f>
        <v>46567.7</v>
      </c>
      <c r="N13" s="33"/>
      <c r="O13" s="21">
        <f>O14+O15</f>
        <v>-133.9</v>
      </c>
      <c r="P13" s="21">
        <f>P14+P15</f>
        <v>46433.799999999996</v>
      </c>
      <c r="Q13" s="21">
        <f>Q14+Q15</f>
        <v>1023.0999999999999</v>
      </c>
      <c r="R13" s="21">
        <f>R14+R15</f>
        <v>47456.899999999994</v>
      </c>
      <c r="S13" s="40" t="s">
        <v>289</v>
      </c>
      <c r="T13" s="21">
        <f>T14+T15</f>
        <v>1452.4</v>
      </c>
      <c r="U13" s="21">
        <f>U14+U15</f>
        <v>48909.299999999996</v>
      </c>
      <c r="V13" s="40" t="s">
        <v>374</v>
      </c>
    </row>
    <row r="14" spans="1:22" ht="47.25" hidden="1" customHeight="1" outlineLevel="1" x14ac:dyDescent="0.2">
      <c r="A14" s="9"/>
      <c r="B14" s="27"/>
      <c r="C14" s="60"/>
      <c r="D14" s="84" t="s">
        <v>53</v>
      </c>
      <c r="E14" s="84"/>
      <c r="F14" s="84"/>
      <c r="G14" s="84"/>
      <c r="H14" s="10" t="s">
        <v>8</v>
      </c>
      <c r="I14" s="10" t="s">
        <v>15</v>
      </c>
      <c r="J14" s="10" t="s">
        <v>8</v>
      </c>
      <c r="K14" s="19">
        <v>45967.199999999997</v>
      </c>
      <c r="L14" s="21"/>
      <c r="M14" s="22">
        <f>K14+L14</f>
        <v>45967.199999999997</v>
      </c>
      <c r="N14" s="33"/>
      <c r="O14" s="21">
        <f>-165+31.1</f>
        <v>-133.9</v>
      </c>
      <c r="P14" s="22">
        <f>M14+O14</f>
        <v>45833.299999999996</v>
      </c>
      <c r="Q14" s="21">
        <f>72+443.7+607.4-100</f>
        <v>1023.0999999999999</v>
      </c>
      <c r="R14" s="22">
        <f>P14+Q14</f>
        <v>46856.399999999994</v>
      </c>
      <c r="S14" s="40" t="s">
        <v>290</v>
      </c>
      <c r="T14" s="21">
        <f>903.5+600.4</f>
        <v>1503.9</v>
      </c>
      <c r="U14" s="22">
        <f>R14+T14</f>
        <v>48360.299999999996</v>
      </c>
      <c r="V14" s="40" t="s">
        <v>370</v>
      </c>
    </row>
    <row r="15" spans="1:22" ht="43.5" hidden="1" customHeight="1" outlineLevel="1" x14ac:dyDescent="0.2">
      <c r="A15" s="9"/>
      <c r="B15" s="27"/>
      <c r="C15" s="60"/>
      <c r="D15" s="84" t="s">
        <v>54</v>
      </c>
      <c r="E15" s="84"/>
      <c r="F15" s="84"/>
      <c r="G15" s="84"/>
      <c r="H15" s="10" t="s">
        <v>8</v>
      </c>
      <c r="I15" s="10" t="s">
        <v>15</v>
      </c>
      <c r="J15" s="10" t="s">
        <v>7</v>
      </c>
      <c r="K15" s="19">
        <v>600.5</v>
      </c>
      <c r="L15" s="21"/>
      <c r="M15" s="22">
        <f>K15+L15</f>
        <v>600.5</v>
      </c>
      <c r="N15" s="33"/>
      <c r="O15" s="21"/>
      <c r="P15" s="22">
        <f>M15+O15</f>
        <v>600.5</v>
      </c>
      <c r="Q15" s="21"/>
      <c r="R15" s="22">
        <f>P15+Q15</f>
        <v>600.5</v>
      </c>
      <c r="S15" s="44"/>
      <c r="T15" s="21">
        <v>-51.5</v>
      </c>
      <c r="U15" s="22">
        <f>R15+T15</f>
        <v>549</v>
      </c>
      <c r="V15" s="40" t="s">
        <v>373</v>
      </c>
    </row>
    <row r="16" spans="1:22" s="8" customFormat="1" ht="26.25" customHeight="1" collapsed="1" x14ac:dyDescent="0.2">
      <c r="A16" s="6"/>
      <c r="B16" s="72" t="s">
        <v>55</v>
      </c>
      <c r="C16" s="72"/>
      <c r="D16" s="72"/>
      <c r="E16" s="72"/>
      <c r="F16" s="72"/>
      <c r="G16" s="72"/>
      <c r="H16" s="11" t="s">
        <v>7</v>
      </c>
      <c r="I16" s="11" t="s">
        <v>3</v>
      </c>
      <c r="J16" s="11" t="s">
        <v>3</v>
      </c>
      <c r="K16" s="20">
        <f>K17+K18+K19+K20</f>
        <v>2668</v>
      </c>
      <c r="L16" s="20">
        <f>L17+L18+L19+L20</f>
        <v>0</v>
      </c>
      <c r="M16" s="20">
        <f>M17+M18+M19+M20</f>
        <v>2668</v>
      </c>
      <c r="N16" s="34"/>
      <c r="O16" s="31">
        <f>O17+O18+O19+O20</f>
        <v>0</v>
      </c>
      <c r="P16" s="31">
        <f>P17+P18+P19+P20</f>
        <v>2668</v>
      </c>
      <c r="Q16" s="31">
        <f>Q17+Q18+Q19+Q20</f>
        <v>0</v>
      </c>
      <c r="R16" s="31">
        <f>R17+R18+R19+R20</f>
        <v>2668</v>
      </c>
      <c r="S16" s="45"/>
      <c r="T16" s="31">
        <f>T17+T18+T19+T20</f>
        <v>-4.2</v>
      </c>
      <c r="U16" s="31">
        <f>U17+U18+U19+U20</f>
        <v>2663.8</v>
      </c>
      <c r="V16" s="40" t="s">
        <v>360</v>
      </c>
    </row>
    <row r="17" spans="1:22" ht="21.75" hidden="1" customHeight="1" outlineLevel="1" x14ac:dyDescent="0.2">
      <c r="A17" s="9"/>
      <c r="B17" s="27"/>
      <c r="C17" s="60"/>
      <c r="D17" s="84" t="s">
        <v>56</v>
      </c>
      <c r="E17" s="84"/>
      <c r="F17" s="84"/>
      <c r="G17" s="84"/>
      <c r="H17" s="10" t="s">
        <v>7</v>
      </c>
      <c r="I17" s="10" t="s">
        <v>1</v>
      </c>
      <c r="J17" s="10" t="s">
        <v>8</v>
      </c>
      <c r="K17" s="19">
        <v>2213.5</v>
      </c>
      <c r="L17" s="21"/>
      <c r="M17" s="22">
        <f>K17+L17</f>
        <v>2213.5</v>
      </c>
      <c r="N17" s="33"/>
      <c r="O17" s="21"/>
      <c r="P17" s="22">
        <f>M17+O17</f>
        <v>2213.5</v>
      </c>
      <c r="Q17" s="21"/>
      <c r="R17" s="22">
        <f>P17+Q17</f>
        <v>2213.5</v>
      </c>
      <c r="S17" s="44"/>
      <c r="T17" s="21"/>
      <c r="U17" s="22">
        <f>R17+T17</f>
        <v>2213.5</v>
      </c>
      <c r="V17" s="44"/>
    </row>
    <row r="18" spans="1:22" ht="32.25" hidden="1" customHeight="1" outlineLevel="1" x14ac:dyDescent="0.2">
      <c r="A18" s="9"/>
      <c r="B18" s="27"/>
      <c r="C18" s="60"/>
      <c r="D18" s="84" t="s">
        <v>57</v>
      </c>
      <c r="E18" s="84"/>
      <c r="F18" s="84"/>
      <c r="G18" s="84"/>
      <c r="H18" s="10" t="s">
        <v>7</v>
      </c>
      <c r="I18" s="10" t="s">
        <v>1</v>
      </c>
      <c r="J18" s="10" t="s">
        <v>7</v>
      </c>
      <c r="K18" s="19">
        <v>0.5</v>
      </c>
      <c r="L18" s="21"/>
      <c r="M18" s="22">
        <f t="shared" ref="M18:M27" si="2">K18+L18</f>
        <v>0.5</v>
      </c>
      <c r="N18" s="33"/>
      <c r="O18" s="21"/>
      <c r="P18" s="22">
        <f>M18+O18</f>
        <v>0.5</v>
      </c>
      <c r="Q18" s="21"/>
      <c r="R18" s="22">
        <f>P18+Q18</f>
        <v>0.5</v>
      </c>
      <c r="S18" s="44"/>
      <c r="T18" s="21"/>
      <c r="U18" s="22">
        <f>R18+T18</f>
        <v>0.5</v>
      </c>
      <c r="V18" s="44"/>
    </row>
    <row r="19" spans="1:22" ht="33.75" hidden="1" customHeight="1" outlineLevel="1" x14ac:dyDescent="0.2">
      <c r="A19" s="9"/>
      <c r="B19" s="27"/>
      <c r="C19" s="60"/>
      <c r="D19" s="84" t="s">
        <v>58</v>
      </c>
      <c r="E19" s="84"/>
      <c r="F19" s="84"/>
      <c r="G19" s="84"/>
      <c r="H19" s="10" t="s">
        <v>7</v>
      </c>
      <c r="I19" s="10" t="s">
        <v>1</v>
      </c>
      <c r="J19" s="10" t="s">
        <v>11</v>
      </c>
      <c r="K19" s="19">
        <v>450</v>
      </c>
      <c r="L19" s="21"/>
      <c r="M19" s="22">
        <f t="shared" si="2"/>
        <v>450</v>
      </c>
      <c r="N19" s="33"/>
      <c r="O19" s="21"/>
      <c r="P19" s="22">
        <f>M19+O19</f>
        <v>450</v>
      </c>
      <c r="Q19" s="21">
        <v>0.1</v>
      </c>
      <c r="R19" s="22">
        <f>P19+Q19</f>
        <v>450.1</v>
      </c>
      <c r="S19" s="40" t="s">
        <v>314</v>
      </c>
      <c r="T19" s="21">
        <v>-4.2</v>
      </c>
      <c r="U19" s="22">
        <f>R19+T19</f>
        <v>445.90000000000003</v>
      </c>
      <c r="V19" s="40" t="s">
        <v>360</v>
      </c>
    </row>
    <row r="20" spans="1:22" ht="34.5" hidden="1" customHeight="1" outlineLevel="1" x14ac:dyDescent="0.2">
      <c r="A20" s="9"/>
      <c r="B20" s="27"/>
      <c r="C20" s="60"/>
      <c r="D20" s="84" t="s">
        <v>59</v>
      </c>
      <c r="E20" s="84"/>
      <c r="F20" s="84"/>
      <c r="G20" s="84"/>
      <c r="H20" s="10" t="s">
        <v>7</v>
      </c>
      <c r="I20" s="10" t="s">
        <v>1</v>
      </c>
      <c r="J20" s="10" t="s">
        <v>6</v>
      </c>
      <c r="K20" s="19">
        <v>4</v>
      </c>
      <c r="L20" s="21"/>
      <c r="M20" s="22">
        <f t="shared" si="2"/>
        <v>4</v>
      </c>
      <c r="N20" s="33"/>
      <c r="O20" s="21"/>
      <c r="P20" s="22">
        <f>M20+O20</f>
        <v>4</v>
      </c>
      <c r="Q20" s="21">
        <v>-0.1</v>
      </c>
      <c r="R20" s="22">
        <f>P20+Q20</f>
        <v>3.9</v>
      </c>
      <c r="S20" s="40" t="s">
        <v>313</v>
      </c>
      <c r="T20" s="21"/>
      <c r="U20" s="22">
        <f>R20+T20</f>
        <v>3.9</v>
      </c>
      <c r="V20" s="40"/>
    </row>
    <row r="21" spans="1:22" s="8" customFormat="1" ht="21.75" customHeight="1" collapsed="1" x14ac:dyDescent="0.2">
      <c r="A21" s="6"/>
      <c r="B21" s="72" t="s">
        <v>60</v>
      </c>
      <c r="C21" s="72"/>
      <c r="D21" s="72"/>
      <c r="E21" s="72"/>
      <c r="F21" s="72"/>
      <c r="G21" s="72"/>
      <c r="H21" s="11" t="s">
        <v>11</v>
      </c>
      <c r="I21" s="11" t="s">
        <v>3</v>
      </c>
      <c r="J21" s="11" t="s">
        <v>3</v>
      </c>
      <c r="K21" s="20">
        <f>K22+K25</f>
        <v>22246.5</v>
      </c>
      <c r="L21" s="20">
        <f>L22+L25</f>
        <v>0</v>
      </c>
      <c r="M21" s="20">
        <f>M22+M25</f>
        <v>22246.5</v>
      </c>
      <c r="N21" s="34"/>
      <c r="O21" s="31">
        <f>O22+O25</f>
        <v>0</v>
      </c>
      <c r="P21" s="31">
        <f>P22+P25</f>
        <v>22246.5</v>
      </c>
      <c r="Q21" s="31">
        <f>Q22+Q25</f>
        <v>-4711.7999999999993</v>
      </c>
      <c r="R21" s="31">
        <f>R22+R25</f>
        <v>17534.7</v>
      </c>
      <c r="S21" s="45"/>
      <c r="T21" s="31">
        <f>T22+T25</f>
        <v>0</v>
      </c>
      <c r="U21" s="31">
        <f>U22+U25</f>
        <v>17534.7</v>
      </c>
      <c r="V21" s="45"/>
    </row>
    <row r="22" spans="1:22" ht="24.75" customHeight="1" x14ac:dyDescent="0.2">
      <c r="A22" s="9"/>
      <c r="B22" s="26"/>
      <c r="C22" s="84" t="s">
        <v>61</v>
      </c>
      <c r="D22" s="84"/>
      <c r="E22" s="84"/>
      <c r="F22" s="84"/>
      <c r="G22" s="84"/>
      <c r="H22" s="10" t="s">
        <v>11</v>
      </c>
      <c r="I22" s="10" t="s">
        <v>13</v>
      </c>
      <c r="J22" s="10" t="s">
        <v>3</v>
      </c>
      <c r="K22" s="19">
        <f>K23+K24</f>
        <v>4540.3999999999996</v>
      </c>
      <c r="L22" s="21"/>
      <c r="M22" s="22">
        <f t="shared" si="2"/>
        <v>4540.3999999999996</v>
      </c>
      <c r="N22" s="33"/>
      <c r="O22" s="21">
        <f>O23+O24</f>
        <v>0</v>
      </c>
      <c r="P22" s="22">
        <f>M22+O22</f>
        <v>4540.3999999999996</v>
      </c>
      <c r="Q22" s="21">
        <f>Q23+Q24</f>
        <v>0</v>
      </c>
      <c r="R22" s="22">
        <f>R23+R24</f>
        <v>4540.3999999999996</v>
      </c>
      <c r="S22" s="22">
        <f>S23+S24</f>
        <v>0</v>
      </c>
      <c r="T22" s="22">
        <f>T23+T24</f>
        <v>0</v>
      </c>
      <c r="U22" s="22">
        <f>U23+U24</f>
        <v>4540.3999999999996</v>
      </c>
      <c r="V22" s="44"/>
    </row>
    <row r="23" spans="1:22" ht="25.5" hidden="1" customHeight="1" outlineLevel="1" x14ac:dyDescent="0.2">
      <c r="A23" s="9"/>
      <c r="B23" s="27"/>
      <c r="C23" s="60"/>
      <c r="D23" s="84" t="s">
        <v>62</v>
      </c>
      <c r="E23" s="84"/>
      <c r="F23" s="84"/>
      <c r="G23" s="84"/>
      <c r="H23" s="10" t="s">
        <v>11</v>
      </c>
      <c r="I23" s="10" t="s">
        <v>13</v>
      </c>
      <c r="J23" s="10" t="s">
        <v>34</v>
      </c>
      <c r="K23" s="19">
        <v>343.4</v>
      </c>
      <c r="L23" s="21"/>
      <c r="M23" s="22">
        <f t="shared" si="2"/>
        <v>343.4</v>
      </c>
      <c r="N23" s="33"/>
      <c r="O23" s="21"/>
      <c r="P23" s="22">
        <f>M23+O23</f>
        <v>343.4</v>
      </c>
      <c r="Q23" s="21"/>
      <c r="R23" s="22">
        <f>P23+Q23</f>
        <v>343.4</v>
      </c>
      <c r="S23" s="44"/>
      <c r="T23" s="21"/>
      <c r="U23" s="22">
        <f>R23+T23</f>
        <v>343.4</v>
      </c>
      <c r="V23" s="44"/>
    </row>
    <row r="24" spans="1:22" ht="12.75" hidden="1" customHeight="1" outlineLevel="1" x14ac:dyDescent="0.2">
      <c r="A24" s="9"/>
      <c r="B24" s="27"/>
      <c r="C24" s="60"/>
      <c r="D24" s="84" t="s">
        <v>63</v>
      </c>
      <c r="E24" s="84"/>
      <c r="F24" s="84"/>
      <c r="G24" s="84"/>
      <c r="H24" s="10" t="s">
        <v>11</v>
      </c>
      <c r="I24" s="10" t="s">
        <v>13</v>
      </c>
      <c r="J24" s="10" t="s">
        <v>33</v>
      </c>
      <c r="K24" s="19">
        <v>4197</v>
      </c>
      <c r="L24" s="21"/>
      <c r="M24" s="22">
        <f t="shared" si="2"/>
        <v>4197</v>
      </c>
      <c r="N24" s="33"/>
      <c r="O24" s="21"/>
      <c r="P24" s="22">
        <f>M24+O24</f>
        <v>4197</v>
      </c>
      <c r="Q24" s="21"/>
      <c r="R24" s="22">
        <f t="shared" ref="R24:R35" si="3">P24+Q24</f>
        <v>4197</v>
      </c>
      <c r="S24" s="44"/>
      <c r="T24" s="21"/>
      <c r="U24" s="22">
        <f>R24+T24</f>
        <v>4197</v>
      </c>
      <c r="V24" s="44"/>
    </row>
    <row r="25" spans="1:22" ht="25.5" customHeight="1" collapsed="1" x14ac:dyDescent="0.2">
      <c r="A25" s="9"/>
      <c r="B25" s="26"/>
      <c r="C25" s="84" t="s">
        <v>64</v>
      </c>
      <c r="D25" s="84"/>
      <c r="E25" s="84"/>
      <c r="F25" s="84"/>
      <c r="G25" s="84"/>
      <c r="H25" s="10" t="s">
        <v>11</v>
      </c>
      <c r="I25" s="10" t="s">
        <v>9</v>
      </c>
      <c r="J25" s="10" t="s">
        <v>3</v>
      </c>
      <c r="K25" s="19">
        <f>K26+K27</f>
        <v>17706.099999999999</v>
      </c>
      <c r="L25" s="19">
        <f>L26+L27</f>
        <v>0</v>
      </c>
      <c r="M25" s="19">
        <f>M26+M27</f>
        <v>17706.099999999999</v>
      </c>
      <c r="N25" s="33"/>
      <c r="O25" s="21">
        <f t="shared" ref="O25:U25" si="4">O26+O27</f>
        <v>0</v>
      </c>
      <c r="P25" s="21">
        <f t="shared" si="4"/>
        <v>17706.099999999999</v>
      </c>
      <c r="Q25" s="21">
        <f t="shared" si="4"/>
        <v>-4711.7999999999993</v>
      </c>
      <c r="R25" s="22">
        <f t="shared" si="4"/>
        <v>12994.300000000001</v>
      </c>
      <c r="S25" s="22" t="e">
        <f t="shared" si="4"/>
        <v>#VALUE!</v>
      </c>
      <c r="T25" s="22">
        <f t="shared" si="4"/>
        <v>0</v>
      </c>
      <c r="U25" s="22">
        <f t="shared" si="4"/>
        <v>12994.300000000001</v>
      </c>
      <c r="V25" s="40"/>
    </row>
    <row r="26" spans="1:22" ht="78.75" hidden="1" outlineLevel="1" x14ac:dyDescent="0.2">
      <c r="A26" s="9"/>
      <c r="B26" s="27"/>
      <c r="C26" s="60"/>
      <c r="D26" s="84" t="s">
        <v>65</v>
      </c>
      <c r="E26" s="84"/>
      <c r="F26" s="84"/>
      <c r="G26" s="84"/>
      <c r="H26" s="10" t="s">
        <v>11</v>
      </c>
      <c r="I26" s="10" t="s">
        <v>9</v>
      </c>
      <c r="J26" s="10" t="s">
        <v>8</v>
      </c>
      <c r="K26" s="19">
        <v>9208.1</v>
      </c>
      <c r="L26" s="21"/>
      <c r="M26" s="22">
        <f t="shared" si="2"/>
        <v>9208.1</v>
      </c>
      <c r="N26" s="33"/>
      <c r="O26" s="21"/>
      <c r="P26" s="22">
        <f>M26+O26</f>
        <v>9208.1</v>
      </c>
      <c r="Q26" s="21">
        <f>3000+782.1</f>
        <v>3782.1</v>
      </c>
      <c r="R26" s="22">
        <f t="shared" si="3"/>
        <v>12990.2</v>
      </c>
      <c r="S26" s="40" t="s">
        <v>269</v>
      </c>
      <c r="T26" s="21">
        <v>4.0999999999999996</v>
      </c>
      <c r="U26" s="22">
        <f>R26+T26</f>
        <v>12994.300000000001</v>
      </c>
      <c r="V26" s="40"/>
    </row>
    <row r="27" spans="1:22" ht="67.5" hidden="1" outlineLevel="1" x14ac:dyDescent="0.2">
      <c r="A27" s="9"/>
      <c r="B27" s="27"/>
      <c r="C27" s="60"/>
      <c r="D27" s="84" t="s">
        <v>305</v>
      </c>
      <c r="E27" s="84"/>
      <c r="F27" s="84"/>
      <c r="G27" s="84"/>
      <c r="H27" s="10" t="s">
        <v>11</v>
      </c>
      <c r="I27" s="10" t="s">
        <v>9</v>
      </c>
      <c r="J27" s="10" t="s">
        <v>7</v>
      </c>
      <c r="K27" s="19">
        <v>8498</v>
      </c>
      <c r="L27" s="21"/>
      <c r="M27" s="22">
        <f t="shared" si="2"/>
        <v>8498</v>
      </c>
      <c r="N27" s="33"/>
      <c r="O27" s="21"/>
      <c r="P27" s="22">
        <f>M27+O27</f>
        <v>8498</v>
      </c>
      <c r="Q27" s="21">
        <f>-3000-5493.9</f>
        <v>-8493.9</v>
      </c>
      <c r="R27" s="22">
        <f t="shared" si="3"/>
        <v>4.1000000000003638</v>
      </c>
      <c r="S27" s="40" t="s">
        <v>306</v>
      </c>
      <c r="T27" s="21">
        <v>-4.0999999999999996</v>
      </c>
      <c r="U27" s="22">
        <f>R27+T27</f>
        <v>3.6415315207705135E-13</v>
      </c>
      <c r="V27" s="40"/>
    </row>
    <row r="28" spans="1:22" s="8" customFormat="1" ht="27.75" customHeight="1" collapsed="1" x14ac:dyDescent="0.2">
      <c r="A28" s="6"/>
      <c r="B28" s="72" t="s">
        <v>66</v>
      </c>
      <c r="C28" s="72"/>
      <c r="D28" s="72"/>
      <c r="E28" s="72"/>
      <c r="F28" s="72"/>
      <c r="G28" s="72"/>
      <c r="H28" s="11" t="s">
        <v>6</v>
      </c>
      <c r="I28" s="11" t="s">
        <v>3</v>
      </c>
      <c r="J28" s="11" t="s">
        <v>3</v>
      </c>
      <c r="K28" s="20">
        <f>K29+K32+K34</f>
        <v>6977</v>
      </c>
      <c r="L28" s="20">
        <f>L29+L32+L34</f>
        <v>0</v>
      </c>
      <c r="M28" s="20">
        <f>M29+M32+M34</f>
        <v>6977</v>
      </c>
      <c r="N28" s="34"/>
      <c r="O28" s="31">
        <f>O29+O32+O34</f>
        <v>0</v>
      </c>
      <c r="P28" s="31">
        <f>P29+P32+P34</f>
        <v>6977</v>
      </c>
      <c r="Q28" s="31">
        <f>Q29+Q32+Q34</f>
        <v>0</v>
      </c>
      <c r="R28" s="31">
        <f>R29+R32+R34</f>
        <v>6977</v>
      </c>
      <c r="S28" s="45"/>
      <c r="T28" s="31">
        <f>T29+T32+T34</f>
        <v>0</v>
      </c>
      <c r="U28" s="31">
        <f>U29+U32+U34</f>
        <v>6977</v>
      </c>
      <c r="V28" s="45"/>
    </row>
    <row r="29" spans="1:22" ht="27.75" customHeight="1" x14ac:dyDescent="0.2">
      <c r="A29" s="9"/>
      <c r="B29" s="26"/>
      <c r="C29" s="84" t="s">
        <v>67</v>
      </c>
      <c r="D29" s="84"/>
      <c r="E29" s="84"/>
      <c r="F29" s="84"/>
      <c r="G29" s="84"/>
      <c r="H29" s="10" t="s">
        <v>6</v>
      </c>
      <c r="I29" s="10" t="s">
        <v>13</v>
      </c>
      <c r="J29" s="10" t="s">
        <v>3</v>
      </c>
      <c r="K29" s="19">
        <f>K30+K31</f>
        <v>6759.5</v>
      </c>
      <c r="L29" s="19">
        <f>L30+L31</f>
        <v>0</v>
      </c>
      <c r="M29" s="19">
        <f>M30+M31</f>
        <v>6759.5</v>
      </c>
      <c r="N29" s="33"/>
      <c r="O29" s="21">
        <f t="shared" ref="O29:U29" si="5">O30+O31</f>
        <v>0</v>
      </c>
      <c r="P29" s="21">
        <f t="shared" si="5"/>
        <v>6759.5</v>
      </c>
      <c r="Q29" s="21">
        <f t="shared" si="5"/>
        <v>0</v>
      </c>
      <c r="R29" s="22">
        <f t="shared" si="5"/>
        <v>6759.5</v>
      </c>
      <c r="S29" s="22">
        <f t="shared" si="5"/>
        <v>0</v>
      </c>
      <c r="T29" s="22">
        <f t="shared" si="5"/>
        <v>0</v>
      </c>
      <c r="U29" s="22">
        <f t="shared" si="5"/>
        <v>6759.5</v>
      </c>
      <c r="V29" s="44"/>
    </row>
    <row r="30" spans="1:22" ht="21.75" hidden="1" customHeight="1" outlineLevel="1" x14ac:dyDescent="0.2">
      <c r="A30" s="9"/>
      <c r="B30" s="27"/>
      <c r="C30" s="60"/>
      <c r="D30" s="84" t="s">
        <v>68</v>
      </c>
      <c r="E30" s="84"/>
      <c r="F30" s="84"/>
      <c r="G30" s="84"/>
      <c r="H30" s="10" t="s">
        <v>6</v>
      </c>
      <c r="I30" s="10" t="s">
        <v>13</v>
      </c>
      <c r="J30" s="10" t="s">
        <v>8</v>
      </c>
      <c r="K30" s="19">
        <v>6730.7</v>
      </c>
      <c r="L30" s="21"/>
      <c r="M30" s="22">
        <f>K30+L30</f>
        <v>6730.7</v>
      </c>
      <c r="N30" s="33"/>
      <c r="O30" s="21"/>
      <c r="P30" s="22">
        <f>M30+O30</f>
        <v>6730.7</v>
      </c>
      <c r="Q30" s="21"/>
      <c r="R30" s="22">
        <f t="shared" si="3"/>
        <v>6730.7</v>
      </c>
      <c r="S30" s="44"/>
      <c r="T30" s="21"/>
      <c r="U30" s="22">
        <f>R30+T30</f>
        <v>6730.7</v>
      </c>
      <c r="V30" s="44"/>
    </row>
    <row r="31" spans="1:22" ht="21.75" hidden="1" customHeight="1" outlineLevel="1" x14ac:dyDescent="0.2">
      <c r="A31" s="9"/>
      <c r="B31" s="27"/>
      <c r="C31" s="60"/>
      <c r="D31" s="84" t="s">
        <v>69</v>
      </c>
      <c r="E31" s="84"/>
      <c r="F31" s="84"/>
      <c r="G31" s="84"/>
      <c r="H31" s="10" t="s">
        <v>6</v>
      </c>
      <c r="I31" s="10" t="s">
        <v>13</v>
      </c>
      <c r="J31" s="10" t="s">
        <v>6</v>
      </c>
      <c r="K31" s="19">
        <v>28.8</v>
      </c>
      <c r="L31" s="21"/>
      <c r="M31" s="22">
        <f>K31+L31</f>
        <v>28.8</v>
      </c>
      <c r="N31" s="33"/>
      <c r="O31" s="21"/>
      <c r="P31" s="22">
        <f>M31+O31</f>
        <v>28.8</v>
      </c>
      <c r="Q31" s="21"/>
      <c r="R31" s="22">
        <f t="shared" si="3"/>
        <v>28.8</v>
      </c>
      <c r="S31" s="44"/>
      <c r="T31" s="21"/>
      <c r="U31" s="22">
        <f>R31+T31</f>
        <v>28.8</v>
      </c>
      <c r="V31" s="44"/>
    </row>
    <row r="32" spans="1:22" ht="26.25" customHeight="1" collapsed="1" x14ac:dyDescent="0.2">
      <c r="A32" s="9"/>
      <c r="B32" s="26"/>
      <c r="C32" s="84" t="s">
        <v>70</v>
      </c>
      <c r="D32" s="84"/>
      <c r="E32" s="84"/>
      <c r="F32" s="84"/>
      <c r="G32" s="84"/>
      <c r="H32" s="10" t="s">
        <v>6</v>
      </c>
      <c r="I32" s="10" t="s">
        <v>9</v>
      </c>
      <c r="J32" s="10" t="s">
        <v>3</v>
      </c>
      <c r="K32" s="19">
        <f>K33</f>
        <v>17.5</v>
      </c>
      <c r="L32" s="19">
        <f t="shared" ref="L32:U32" si="6">L33</f>
        <v>0</v>
      </c>
      <c r="M32" s="19">
        <f t="shared" si="6"/>
        <v>17.5</v>
      </c>
      <c r="N32" s="33"/>
      <c r="O32" s="21">
        <f t="shared" si="6"/>
        <v>0</v>
      </c>
      <c r="P32" s="21">
        <f t="shared" si="6"/>
        <v>17.5</v>
      </c>
      <c r="Q32" s="21">
        <f t="shared" si="6"/>
        <v>0</v>
      </c>
      <c r="R32" s="21">
        <f t="shared" si="6"/>
        <v>17.5</v>
      </c>
      <c r="S32" s="44"/>
      <c r="T32" s="21">
        <f t="shared" si="6"/>
        <v>0</v>
      </c>
      <c r="U32" s="21">
        <f t="shared" si="6"/>
        <v>17.5</v>
      </c>
      <c r="V32" s="44"/>
    </row>
    <row r="33" spans="1:22" ht="24.75" hidden="1" customHeight="1" outlineLevel="1" x14ac:dyDescent="0.2">
      <c r="A33" s="9"/>
      <c r="B33" s="27"/>
      <c r="C33" s="60"/>
      <c r="D33" s="84" t="s">
        <v>71</v>
      </c>
      <c r="E33" s="84"/>
      <c r="F33" s="84"/>
      <c r="G33" s="84"/>
      <c r="H33" s="10" t="s">
        <v>6</v>
      </c>
      <c r="I33" s="10" t="s">
        <v>9</v>
      </c>
      <c r="J33" s="10" t="s">
        <v>7</v>
      </c>
      <c r="K33" s="19">
        <v>17.5</v>
      </c>
      <c r="L33" s="21"/>
      <c r="M33" s="22">
        <f>K33+L33</f>
        <v>17.5</v>
      </c>
      <c r="N33" s="33"/>
      <c r="O33" s="21"/>
      <c r="P33" s="22">
        <f>M33+O33</f>
        <v>17.5</v>
      </c>
      <c r="Q33" s="21"/>
      <c r="R33" s="22">
        <f t="shared" si="3"/>
        <v>17.5</v>
      </c>
      <c r="S33" s="44"/>
      <c r="T33" s="21"/>
      <c r="U33" s="22">
        <f>R33+T33</f>
        <v>17.5</v>
      </c>
      <c r="V33" s="44"/>
    </row>
    <row r="34" spans="1:22" ht="30.75" customHeight="1" collapsed="1" x14ac:dyDescent="0.2">
      <c r="A34" s="9"/>
      <c r="B34" s="26"/>
      <c r="C34" s="84" t="s">
        <v>72</v>
      </c>
      <c r="D34" s="84"/>
      <c r="E34" s="84"/>
      <c r="F34" s="84"/>
      <c r="G34" s="84"/>
      <c r="H34" s="10" t="s">
        <v>6</v>
      </c>
      <c r="I34" s="10" t="s">
        <v>15</v>
      </c>
      <c r="J34" s="10" t="s">
        <v>3</v>
      </c>
      <c r="K34" s="19">
        <f>K35</f>
        <v>200</v>
      </c>
      <c r="L34" s="19">
        <f t="shared" ref="L34:U34" si="7">L35</f>
        <v>0</v>
      </c>
      <c r="M34" s="19">
        <f t="shared" si="7"/>
        <v>200</v>
      </c>
      <c r="N34" s="33"/>
      <c r="O34" s="21">
        <f t="shared" si="7"/>
        <v>0</v>
      </c>
      <c r="P34" s="21">
        <f t="shared" si="7"/>
        <v>200</v>
      </c>
      <c r="Q34" s="21">
        <f t="shared" si="7"/>
        <v>0</v>
      </c>
      <c r="R34" s="21">
        <f>R35</f>
        <v>200</v>
      </c>
      <c r="S34" s="44"/>
      <c r="T34" s="21">
        <f t="shared" si="7"/>
        <v>0</v>
      </c>
      <c r="U34" s="21">
        <f t="shared" si="7"/>
        <v>200</v>
      </c>
      <c r="V34" s="44"/>
    </row>
    <row r="35" spans="1:22" ht="42.75" hidden="1" customHeight="1" outlineLevel="1" x14ac:dyDescent="0.2">
      <c r="A35" s="9"/>
      <c r="B35" s="27"/>
      <c r="C35" s="60"/>
      <c r="D35" s="84" t="s">
        <v>73</v>
      </c>
      <c r="E35" s="84"/>
      <c r="F35" s="84"/>
      <c r="G35" s="84"/>
      <c r="H35" s="10" t="s">
        <v>6</v>
      </c>
      <c r="I35" s="10" t="s">
        <v>15</v>
      </c>
      <c r="J35" s="10" t="s">
        <v>8</v>
      </c>
      <c r="K35" s="19">
        <v>200</v>
      </c>
      <c r="L35" s="21"/>
      <c r="M35" s="22">
        <f>K35+L35</f>
        <v>200</v>
      </c>
      <c r="N35" s="33"/>
      <c r="O35" s="21"/>
      <c r="P35" s="22">
        <f>M35+O35</f>
        <v>200</v>
      </c>
      <c r="Q35" s="21"/>
      <c r="R35" s="22">
        <f t="shared" si="3"/>
        <v>200</v>
      </c>
      <c r="S35" s="44"/>
      <c r="T35" s="21"/>
      <c r="U35" s="22">
        <f>R35+T35</f>
        <v>200</v>
      </c>
      <c r="V35" s="44"/>
    </row>
    <row r="36" spans="1:22" s="8" customFormat="1" ht="27" customHeight="1" collapsed="1" x14ac:dyDescent="0.2">
      <c r="A36" s="6"/>
      <c r="B36" s="72" t="s">
        <v>74</v>
      </c>
      <c r="C36" s="72"/>
      <c r="D36" s="72"/>
      <c r="E36" s="72"/>
      <c r="F36" s="72"/>
      <c r="G36" s="72"/>
      <c r="H36" s="11" t="s">
        <v>5</v>
      </c>
      <c r="I36" s="11" t="s">
        <v>3</v>
      </c>
      <c r="J36" s="11" t="s">
        <v>3</v>
      </c>
      <c r="K36" s="20">
        <f>K37+K39</f>
        <v>43259.9</v>
      </c>
      <c r="L36" s="20">
        <f>L37+L39</f>
        <v>0</v>
      </c>
      <c r="M36" s="20">
        <f>M37+M39</f>
        <v>43259.9</v>
      </c>
      <c r="N36" s="34"/>
      <c r="O36" s="31">
        <f>O37+O39</f>
        <v>632.5</v>
      </c>
      <c r="P36" s="31">
        <f>P37+P39</f>
        <v>43892.4</v>
      </c>
      <c r="Q36" s="31">
        <f>Q37+Q39</f>
        <v>351.5</v>
      </c>
      <c r="R36" s="31">
        <f>R37+R39</f>
        <v>44243.9</v>
      </c>
      <c r="S36" s="45"/>
      <c r="T36" s="31">
        <f>T37+T39</f>
        <v>-445</v>
      </c>
      <c r="U36" s="31">
        <f>U37+U39</f>
        <v>43798.9</v>
      </c>
      <c r="V36" s="45"/>
    </row>
    <row r="37" spans="1:22" ht="27.75" customHeight="1" x14ac:dyDescent="0.2">
      <c r="A37" s="9"/>
      <c r="B37" s="26"/>
      <c r="C37" s="84" t="s">
        <v>75</v>
      </c>
      <c r="D37" s="84"/>
      <c r="E37" s="84"/>
      <c r="F37" s="84"/>
      <c r="G37" s="84"/>
      <c r="H37" s="10" t="s">
        <v>5</v>
      </c>
      <c r="I37" s="10" t="s">
        <v>13</v>
      </c>
      <c r="J37" s="10" t="s">
        <v>3</v>
      </c>
      <c r="K37" s="19">
        <f>K38</f>
        <v>42359.9</v>
      </c>
      <c r="L37" s="19">
        <f t="shared" ref="L37:U37" si="8">L38</f>
        <v>0</v>
      </c>
      <c r="M37" s="19">
        <f t="shared" si="8"/>
        <v>42359.9</v>
      </c>
      <c r="N37" s="33"/>
      <c r="O37" s="21">
        <f t="shared" si="8"/>
        <v>632.5</v>
      </c>
      <c r="P37" s="21">
        <f t="shared" si="8"/>
        <v>42992.4</v>
      </c>
      <c r="Q37" s="21">
        <f t="shared" si="8"/>
        <v>526.5</v>
      </c>
      <c r="R37" s="21">
        <f>R38</f>
        <v>43518.9</v>
      </c>
      <c r="S37" s="40" t="s">
        <v>260</v>
      </c>
      <c r="T37" s="21">
        <f t="shared" si="8"/>
        <v>0</v>
      </c>
      <c r="U37" s="21">
        <f t="shared" si="8"/>
        <v>43518.9</v>
      </c>
      <c r="V37" s="40"/>
    </row>
    <row r="38" spans="1:22" ht="56.25" hidden="1" customHeight="1" outlineLevel="1" x14ac:dyDescent="0.2">
      <c r="A38" s="9"/>
      <c r="B38" s="27"/>
      <c r="C38" s="60"/>
      <c r="D38" s="84" t="s">
        <v>76</v>
      </c>
      <c r="E38" s="84"/>
      <c r="F38" s="84"/>
      <c r="G38" s="84"/>
      <c r="H38" s="10" t="s">
        <v>5</v>
      </c>
      <c r="I38" s="10" t="s">
        <v>13</v>
      </c>
      <c r="J38" s="10" t="s">
        <v>8</v>
      </c>
      <c r="K38" s="19">
        <v>42359.9</v>
      </c>
      <c r="L38" s="21"/>
      <c r="M38" s="22">
        <f>K38+L38</f>
        <v>42359.9</v>
      </c>
      <c r="N38" s="33"/>
      <c r="O38" s="21">
        <f>368.1+264.4</f>
        <v>632.5</v>
      </c>
      <c r="P38" s="22">
        <f>M38+O38</f>
        <v>42992.4</v>
      </c>
      <c r="Q38" s="21">
        <v>526.5</v>
      </c>
      <c r="R38" s="22">
        <f>P38+Q38</f>
        <v>43518.9</v>
      </c>
      <c r="S38" s="40" t="s">
        <v>260</v>
      </c>
      <c r="T38" s="21"/>
      <c r="U38" s="22">
        <f>R38+T38</f>
        <v>43518.9</v>
      </c>
      <c r="V38" s="40"/>
    </row>
    <row r="39" spans="1:22" ht="27" customHeight="1" collapsed="1" x14ac:dyDescent="0.2">
      <c r="A39" s="9"/>
      <c r="B39" s="26"/>
      <c r="C39" s="84" t="s">
        <v>77</v>
      </c>
      <c r="D39" s="84"/>
      <c r="E39" s="84"/>
      <c r="F39" s="84"/>
      <c r="G39" s="84"/>
      <c r="H39" s="10" t="s">
        <v>5</v>
      </c>
      <c r="I39" s="10" t="s">
        <v>9</v>
      </c>
      <c r="J39" s="10" t="s">
        <v>3</v>
      </c>
      <c r="K39" s="19">
        <f>K40</f>
        <v>900</v>
      </c>
      <c r="L39" s="19">
        <f t="shared" ref="L39:U39" si="9">L40</f>
        <v>0</v>
      </c>
      <c r="M39" s="19">
        <f t="shared" si="9"/>
        <v>900</v>
      </c>
      <c r="N39" s="33"/>
      <c r="O39" s="21">
        <f t="shared" si="9"/>
        <v>0</v>
      </c>
      <c r="P39" s="21">
        <f t="shared" si="9"/>
        <v>900</v>
      </c>
      <c r="Q39" s="21">
        <f t="shared" si="9"/>
        <v>-175</v>
      </c>
      <c r="R39" s="21">
        <f t="shared" si="9"/>
        <v>725</v>
      </c>
      <c r="S39" s="40" t="s">
        <v>259</v>
      </c>
      <c r="T39" s="21">
        <f t="shared" si="9"/>
        <v>-445</v>
      </c>
      <c r="U39" s="21">
        <f t="shared" si="9"/>
        <v>280</v>
      </c>
      <c r="V39" s="40" t="s">
        <v>421</v>
      </c>
    </row>
    <row r="40" spans="1:22" ht="36.75" hidden="1" customHeight="1" outlineLevel="1" x14ac:dyDescent="0.2">
      <c r="A40" s="9"/>
      <c r="B40" s="27"/>
      <c r="C40" s="60"/>
      <c r="D40" s="84" t="s">
        <v>78</v>
      </c>
      <c r="E40" s="84"/>
      <c r="F40" s="84"/>
      <c r="G40" s="84"/>
      <c r="H40" s="10" t="s">
        <v>5</v>
      </c>
      <c r="I40" s="10" t="s">
        <v>9</v>
      </c>
      <c r="J40" s="10" t="s">
        <v>8</v>
      </c>
      <c r="K40" s="19">
        <v>900</v>
      </c>
      <c r="L40" s="21"/>
      <c r="M40" s="22">
        <f>K40+L40</f>
        <v>900</v>
      </c>
      <c r="N40" s="33"/>
      <c r="O40" s="21"/>
      <c r="P40" s="22">
        <f>M40+O40</f>
        <v>900</v>
      </c>
      <c r="Q40" s="21">
        <v>-175</v>
      </c>
      <c r="R40" s="22">
        <f>P40+Q40</f>
        <v>725</v>
      </c>
      <c r="S40" s="40" t="s">
        <v>259</v>
      </c>
      <c r="T40" s="21">
        <v>-445</v>
      </c>
      <c r="U40" s="22">
        <f>R40+T40</f>
        <v>280</v>
      </c>
      <c r="V40" s="40" t="s">
        <v>421</v>
      </c>
    </row>
    <row r="41" spans="1:22" s="8" customFormat="1" ht="31.5" customHeight="1" collapsed="1" x14ac:dyDescent="0.2">
      <c r="A41" s="6"/>
      <c r="B41" s="72" t="s">
        <v>79</v>
      </c>
      <c r="C41" s="72"/>
      <c r="D41" s="72"/>
      <c r="E41" s="72"/>
      <c r="F41" s="72"/>
      <c r="G41" s="72"/>
      <c r="H41" s="11" t="s">
        <v>4</v>
      </c>
      <c r="I41" s="11" t="s">
        <v>3</v>
      </c>
      <c r="J41" s="11" t="s">
        <v>3</v>
      </c>
      <c r="K41" s="20">
        <f>K42+K48+K52</f>
        <v>568446.39999999991</v>
      </c>
      <c r="L41" s="20">
        <f>L42+L48+L52</f>
        <v>7610</v>
      </c>
      <c r="M41" s="20">
        <f>M42+M48+M52</f>
        <v>576056.39999999991</v>
      </c>
      <c r="N41" s="34"/>
      <c r="O41" s="31">
        <f>O42+O48+O52</f>
        <v>39314</v>
      </c>
      <c r="P41" s="31">
        <f>P42+P48+P52</f>
        <v>615370.4</v>
      </c>
      <c r="Q41" s="31">
        <f>Q42+Q48+Q52</f>
        <v>45069.100000000006</v>
      </c>
      <c r="R41" s="31">
        <f>R42+R48+R52</f>
        <v>660439.5</v>
      </c>
      <c r="S41" s="45"/>
      <c r="T41" s="31">
        <f>T42+T48+T52</f>
        <v>1478.9999999999998</v>
      </c>
      <c r="U41" s="31">
        <f>U42+U48+U52</f>
        <v>661918.5</v>
      </c>
      <c r="V41" s="45"/>
    </row>
    <row r="42" spans="1:22" ht="190.5" customHeight="1" x14ac:dyDescent="0.2">
      <c r="A42" s="9"/>
      <c r="B42" s="26"/>
      <c r="C42" s="84" t="s">
        <v>80</v>
      </c>
      <c r="D42" s="84"/>
      <c r="E42" s="84"/>
      <c r="F42" s="84"/>
      <c r="G42" s="84"/>
      <c r="H42" s="10" t="s">
        <v>4</v>
      </c>
      <c r="I42" s="10" t="s">
        <v>13</v>
      </c>
      <c r="J42" s="10" t="s">
        <v>3</v>
      </c>
      <c r="K42" s="19">
        <f>K43+K44+K45+K46+K47</f>
        <v>23232.5</v>
      </c>
      <c r="L42" s="19">
        <f>L43+L44+L45+L46+L47</f>
        <v>9842</v>
      </c>
      <c r="M42" s="19">
        <f>M43+M44+M45+M46+M47</f>
        <v>33074.5</v>
      </c>
      <c r="N42" s="35" t="s">
        <v>379</v>
      </c>
      <c r="O42" s="21">
        <f>O43+O44+O45+O46+O47</f>
        <v>4525.7</v>
      </c>
      <c r="P42" s="21">
        <f>P43+P44+P45+P46+P47</f>
        <v>37600.199999999997</v>
      </c>
      <c r="Q42" s="21">
        <f>Q43+Q44+Q45+Q46+Q47</f>
        <v>542.29999999999995</v>
      </c>
      <c r="R42" s="21">
        <f>R43+R44+R45+R46+R47</f>
        <v>38142.5</v>
      </c>
      <c r="S42" s="21" t="e">
        <f t="shared" ref="S42" si="10">S43+S44+S45+S46+S47</f>
        <v>#VALUE!</v>
      </c>
      <c r="T42" s="21">
        <f>T43+T44+T45+T46+T47</f>
        <v>1104.7999999999997</v>
      </c>
      <c r="U42" s="21">
        <f>U43+U44+U45+U46+U47</f>
        <v>39247.300000000003</v>
      </c>
      <c r="V42" s="40" t="s">
        <v>377</v>
      </c>
    </row>
    <row r="43" spans="1:22" ht="75.75" hidden="1" customHeight="1" outlineLevel="1" x14ac:dyDescent="0.2">
      <c r="A43" s="9"/>
      <c r="B43" s="27"/>
      <c r="C43" s="60"/>
      <c r="D43" s="84" t="s">
        <v>82</v>
      </c>
      <c r="E43" s="84"/>
      <c r="F43" s="84"/>
      <c r="G43" s="84"/>
      <c r="H43" s="10" t="s">
        <v>4</v>
      </c>
      <c r="I43" s="10" t="s">
        <v>13</v>
      </c>
      <c r="J43" s="10" t="s">
        <v>8</v>
      </c>
      <c r="K43" s="19">
        <v>839.2</v>
      </c>
      <c r="L43" s="21"/>
      <c r="M43" s="22">
        <f>K43+L43</f>
        <v>839.2</v>
      </c>
      <c r="N43" s="33"/>
      <c r="O43" s="21"/>
      <c r="P43" s="22">
        <f>M43+O43</f>
        <v>839.2</v>
      </c>
      <c r="Q43" s="21"/>
      <c r="R43" s="22">
        <f t="shared" ref="R43:R57" si="11">P43+Q43</f>
        <v>839.2</v>
      </c>
      <c r="S43" s="44"/>
      <c r="T43" s="21">
        <f>135.7+546.1</f>
        <v>681.8</v>
      </c>
      <c r="U43" s="22">
        <f>R43+T43</f>
        <v>1521</v>
      </c>
      <c r="V43" s="65" t="s">
        <v>380</v>
      </c>
    </row>
    <row r="44" spans="1:22" ht="29.25" hidden="1" customHeight="1" outlineLevel="1" x14ac:dyDescent="0.2">
      <c r="A44" s="9"/>
      <c r="B44" s="27"/>
      <c r="C44" s="60"/>
      <c r="D44" s="84" t="s">
        <v>81</v>
      </c>
      <c r="E44" s="84"/>
      <c r="F44" s="84"/>
      <c r="G44" s="84"/>
      <c r="H44" s="10" t="s">
        <v>4</v>
      </c>
      <c r="I44" s="10" t="s">
        <v>13</v>
      </c>
      <c r="J44" s="10" t="s">
        <v>7</v>
      </c>
      <c r="K44" s="19">
        <v>326.7</v>
      </c>
      <c r="L44" s="21">
        <v>1340</v>
      </c>
      <c r="M44" s="22">
        <f>K44+L44</f>
        <v>1666.7</v>
      </c>
      <c r="N44" s="35" t="s">
        <v>381</v>
      </c>
      <c r="O44" s="21">
        <v>593.9</v>
      </c>
      <c r="P44" s="22">
        <f t="shared" ref="P44:P57" si="12">M44+O44</f>
        <v>2260.6</v>
      </c>
      <c r="Q44" s="21"/>
      <c r="R44" s="22">
        <f t="shared" si="11"/>
        <v>2260.6</v>
      </c>
      <c r="S44" s="40"/>
      <c r="T44" s="21"/>
      <c r="U44" s="22">
        <f>R44+T44</f>
        <v>2260.6</v>
      </c>
      <c r="V44" s="40"/>
    </row>
    <row r="45" spans="1:22" ht="93.75" hidden="1" customHeight="1" outlineLevel="1" x14ac:dyDescent="0.2">
      <c r="A45" s="9"/>
      <c r="B45" s="27"/>
      <c r="C45" s="60"/>
      <c r="D45" s="84" t="s">
        <v>84</v>
      </c>
      <c r="E45" s="84"/>
      <c r="F45" s="84"/>
      <c r="G45" s="84"/>
      <c r="H45" s="10" t="s">
        <v>4</v>
      </c>
      <c r="I45" s="10" t="s">
        <v>13</v>
      </c>
      <c r="J45" s="10" t="s">
        <v>11</v>
      </c>
      <c r="K45" s="19">
        <v>5332.5</v>
      </c>
      <c r="L45" s="21">
        <f>752.2+1026.2-77.1+6435.9-15.1-0.1+170</f>
        <v>8292</v>
      </c>
      <c r="M45" s="22">
        <f>K45+L45</f>
        <v>13624.5</v>
      </c>
      <c r="N45" s="35" t="s">
        <v>382</v>
      </c>
      <c r="O45" s="21">
        <f>650+3261.8+20</f>
        <v>3931.8</v>
      </c>
      <c r="P45" s="22">
        <f t="shared" si="12"/>
        <v>17556.3</v>
      </c>
      <c r="Q45" s="21">
        <f>450-50.6</f>
        <v>399.4</v>
      </c>
      <c r="R45" s="22">
        <f t="shared" si="11"/>
        <v>17955.7</v>
      </c>
      <c r="S45" s="40" t="s">
        <v>383</v>
      </c>
      <c r="T45" s="21">
        <f>300-166.6+297.5</f>
        <v>430.9</v>
      </c>
      <c r="U45" s="22">
        <f>R45+T45</f>
        <v>18386.600000000002</v>
      </c>
      <c r="V45" s="40" t="s">
        <v>375</v>
      </c>
    </row>
    <row r="46" spans="1:22" ht="51" hidden="1" customHeight="1" outlineLevel="1" x14ac:dyDescent="0.2">
      <c r="A46" s="9"/>
      <c r="B46" s="27"/>
      <c r="C46" s="60"/>
      <c r="D46" s="59"/>
      <c r="E46" s="59"/>
      <c r="F46" s="59"/>
      <c r="G46" s="59" t="s">
        <v>225</v>
      </c>
      <c r="H46" s="10" t="s">
        <v>4</v>
      </c>
      <c r="I46" s="10" t="s">
        <v>13</v>
      </c>
      <c r="J46" s="10">
        <v>4</v>
      </c>
      <c r="K46" s="19">
        <v>0</v>
      </c>
      <c r="L46" s="21">
        <v>210</v>
      </c>
      <c r="M46" s="22">
        <f>K46+L46</f>
        <v>210</v>
      </c>
      <c r="N46" s="35" t="s">
        <v>226</v>
      </c>
      <c r="O46" s="21"/>
      <c r="P46" s="22">
        <f t="shared" si="12"/>
        <v>210</v>
      </c>
      <c r="Q46" s="21">
        <f>142.9</f>
        <v>142.9</v>
      </c>
      <c r="R46" s="22">
        <f t="shared" si="11"/>
        <v>352.9</v>
      </c>
      <c r="S46" s="40" t="s">
        <v>384</v>
      </c>
      <c r="T46" s="21">
        <v>-7.9</v>
      </c>
      <c r="U46" s="22">
        <f>R46+T46</f>
        <v>345</v>
      </c>
      <c r="V46" s="40" t="s">
        <v>376</v>
      </c>
    </row>
    <row r="47" spans="1:22" ht="18" hidden="1" customHeight="1" outlineLevel="1" x14ac:dyDescent="0.2">
      <c r="A47" s="9"/>
      <c r="B47" s="27"/>
      <c r="C47" s="60"/>
      <c r="D47" s="84" t="s">
        <v>83</v>
      </c>
      <c r="E47" s="84"/>
      <c r="F47" s="84"/>
      <c r="G47" s="84"/>
      <c r="H47" s="10" t="s">
        <v>4</v>
      </c>
      <c r="I47" s="10" t="s">
        <v>13</v>
      </c>
      <c r="J47" s="10" t="s">
        <v>32</v>
      </c>
      <c r="K47" s="19">
        <v>16734.099999999999</v>
      </c>
      <c r="L47" s="21"/>
      <c r="M47" s="22">
        <f>K47+L47</f>
        <v>16734.099999999999</v>
      </c>
      <c r="N47" s="33"/>
      <c r="O47" s="21"/>
      <c r="P47" s="22">
        <f t="shared" si="12"/>
        <v>16734.099999999999</v>
      </c>
      <c r="Q47" s="21"/>
      <c r="R47" s="22">
        <f t="shared" si="11"/>
        <v>16734.099999999999</v>
      </c>
      <c r="S47" s="44"/>
      <c r="T47" s="21"/>
      <c r="U47" s="22">
        <f>R47+T47</f>
        <v>16734.099999999999</v>
      </c>
      <c r="V47" s="44"/>
    </row>
    <row r="48" spans="1:22" ht="50.25" customHeight="1" collapsed="1" x14ac:dyDescent="0.2">
      <c r="A48" s="9"/>
      <c r="B48" s="26"/>
      <c r="C48" s="84" t="s">
        <v>86</v>
      </c>
      <c r="D48" s="84"/>
      <c r="E48" s="84"/>
      <c r="F48" s="84"/>
      <c r="G48" s="84"/>
      <c r="H48" s="10" t="s">
        <v>4</v>
      </c>
      <c r="I48" s="10" t="s">
        <v>9</v>
      </c>
      <c r="J48" s="10" t="s">
        <v>3</v>
      </c>
      <c r="K48" s="19">
        <f>K49+K50+K51</f>
        <v>3661.7</v>
      </c>
      <c r="L48" s="19">
        <f>L49+L50+L51</f>
        <v>-100</v>
      </c>
      <c r="M48" s="19">
        <f>M49+M50+M51</f>
        <v>3561.7</v>
      </c>
      <c r="N48" s="35" t="s">
        <v>385</v>
      </c>
      <c r="O48" s="21">
        <f>O49+O50+O51</f>
        <v>0</v>
      </c>
      <c r="P48" s="21">
        <f>P49+P50+P51</f>
        <v>3561.7</v>
      </c>
      <c r="Q48" s="21">
        <f>Q49+Q50+Q51</f>
        <v>0</v>
      </c>
      <c r="R48" s="21">
        <f>R49+R50+R51</f>
        <v>3561.7</v>
      </c>
      <c r="S48" s="46"/>
      <c r="T48" s="21">
        <f>T49+T50+T51</f>
        <v>600</v>
      </c>
      <c r="U48" s="21">
        <f>U49+U50+U51</f>
        <v>4161.7</v>
      </c>
      <c r="V48" s="40" t="s">
        <v>386</v>
      </c>
    </row>
    <row r="49" spans="1:22" ht="21.75" hidden="1" customHeight="1" outlineLevel="1" x14ac:dyDescent="0.2">
      <c r="A49" s="9"/>
      <c r="B49" s="27"/>
      <c r="C49" s="60"/>
      <c r="D49" s="84" t="s">
        <v>85</v>
      </c>
      <c r="E49" s="84"/>
      <c r="F49" s="84"/>
      <c r="G49" s="84"/>
      <c r="H49" s="10" t="s">
        <v>4</v>
      </c>
      <c r="I49" s="10" t="s">
        <v>9</v>
      </c>
      <c r="J49" s="10" t="s">
        <v>8</v>
      </c>
      <c r="K49" s="19">
        <v>170</v>
      </c>
      <c r="L49" s="21"/>
      <c r="M49" s="22">
        <f>K49+L49</f>
        <v>170</v>
      </c>
      <c r="N49" s="33"/>
      <c r="O49" s="21"/>
      <c r="P49" s="22">
        <f t="shared" si="12"/>
        <v>170</v>
      </c>
      <c r="Q49" s="21"/>
      <c r="R49" s="22">
        <f t="shared" si="11"/>
        <v>170</v>
      </c>
      <c r="S49" s="44"/>
      <c r="T49" s="21"/>
      <c r="U49" s="22">
        <f>R49+T49</f>
        <v>170</v>
      </c>
      <c r="V49" s="44"/>
    </row>
    <row r="50" spans="1:22" ht="12.75" hidden="1" customHeight="1" outlineLevel="1" x14ac:dyDescent="0.2">
      <c r="A50" s="9"/>
      <c r="B50" s="27"/>
      <c r="C50" s="60"/>
      <c r="D50" s="84" t="s">
        <v>87</v>
      </c>
      <c r="E50" s="84"/>
      <c r="F50" s="84"/>
      <c r="G50" s="84"/>
      <c r="H50" s="10" t="s">
        <v>4</v>
      </c>
      <c r="I50" s="10" t="s">
        <v>9</v>
      </c>
      <c r="J50" s="10" t="s">
        <v>7</v>
      </c>
      <c r="K50" s="19">
        <v>842.7</v>
      </c>
      <c r="L50" s="21"/>
      <c r="M50" s="22">
        <f>K50+L50</f>
        <v>842.7</v>
      </c>
      <c r="N50" s="33"/>
      <c r="O50" s="21"/>
      <c r="P50" s="22">
        <f t="shared" si="12"/>
        <v>842.7</v>
      </c>
      <c r="Q50" s="21"/>
      <c r="R50" s="22">
        <f t="shared" si="11"/>
        <v>842.7</v>
      </c>
      <c r="S50" s="44"/>
      <c r="T50" s="21"/>
      <c r="U50" s="22">
        <f>R50+T50</f>
        <v>842.7</v>
      </c>
      <c r="V50" s="44"/>
    </row>
    <row r="51" spans="1:22" ht="57.75" hidden="1" customHeight="1" outlineLevel="1" x14ac:dyDescent="0.2">
      <c r="A51" s="9"/>
      <c r="B51" s="27"/>
      <c r="C51" s="60"/>
      <c r="D51" s="84" t="s">
        <v>88</v>
      </c>
      <c r="E51" s="84"/>
      <c r="F51" s="84"/>
      <c r="G51" s="84"/>
      <c r="H51" s="10" t="s">
        <v>4</v>
      </c>
      <c r="I51" s="10" t="s">
        <v>9</v>
      </c>
      <c r="J51" s="10" t="s">
        <v>11</v>
      </c>
      <c r="K51" s="19">
        <v>2649</v>
      </c>
      <c r="L51" s="21">
        <f>-100</f>
        <v>-100</v>
      </c>
      <c r="M51" s="22">
        <f>K51+L51</f>
        <v>2549</v>
      </c>
      <c r="N51" s="35" t="s">
        <v>387</v>
      </c>
      <c r="O51" s="21"/>
      <c r="P51" s="22">
        <f t="shared" si="12"/>
        <v>2549</v>
      </c>
      <c r="Q51" s="21"/>
      <c r="R51" s="22">
        <f t="shared" si="11"/>
        <v>2549</v>
      </c>
      <c r="S51" s="44"/>
      <c r="T51" s="21">
        <v>600</v>
      </c>
      <c r="U51" s="22">
        <f>R51+T51</f>
        <v>3149</v>
      </c>
      <c r="V51" s="40" t="s">
        <v>354</v>
      </c>
    </row>
    <row r="52" spans="1:22" ht="73.5" customHeight="1" collapsed="1" x14ac:dyDescent="0.2">
      <c r="A52" s="9"/>
      <c r="B52" s="26"/>
      <c r="C52" s="84" t="s">
        <v>92</v>
      </c>
      <c r="D52" s="84"/>
      <c r="E52" s="84"/>
      <c r="F52" s="84"/>
      <c r="G52" s="84"/>
      <c r="H52" s="10" t="s">
        <v>4</v>
      </c>
      <c r="I52" s="10" t="s">
        <v>15</v>
      </c>
      <c r="J52" s="10" t="s">
        <v>3</v>
      </c>
      <c r="K52" s="19">
        <f>K53</f>
        <v>541552.19999999995</v>
      </c>
      <c r="L52" s="19">
        <f t="shared" ref="L52:U52" si="13">L53</f>
        <v>-2132</v>
      </c>
      <c r="M52" s="19">
        <f t="shared" si="13"/>
        <v>539420.19999999995</v>
      </c>
      <c r="N52" s="35" t="s">
        <v>388</v>
      </c>
      <c r="O52" s="21">
        <f t="shared" si="13"/>
        <v>34788.300000000003</v>
      </c>
      <c r="P52" s="21">
        <f t="shared" si="13"/>
        <v>574208.5</v>
      </c>
      <c r="Q52" s="21">
        <f t="shared" si="13"/>
        <v>44526.8</v>
      </c>
      <c r="R52" s="21">
        <f t="shared" si="13"/>
        <v>618735.30000000005</v>
      </c>
      <c r="S52" s="40" t="s">
        <v>389</v>
      </c>
      <c r="T52" s="21">
        <f t="shared" si="13"/>
        <v>-225.80000000000004</v>
      </c>
      <c r="U52" s="21">
        <f t="shared" si="13"/>
        <v>618509.5</v>
      </c>
      <c r="V52" s="40" t="s">
        <v>390</v>
      </c>
    </row>
    <row r="53" spans="1:22" ht="90" hidden="1" customHeight="1" outlineLevel="1" x14ac:dyDescent="0.2">
      <c r="A53" s="9"/>
      <c r="B53" s="27"/>
      <c r="C53" s="60"/>
      <c r="D53" s="84" t="s">
        <v>91</v>
      </c>
      <c r="E53" s="84"/>
      <c r="F53" s="84"/>
      <c r="G53" s="84"/>
      <c r="H53" s="10" t="s">
        <v>4</v>
      </c>
      <c r="I53" s="10" t="s">
        <v>15</v>
      </c>
      <c r="J53" s="10" t="s">
        <v>8</v>
      </c>
      <c r="K53" s="19">
        <v>541552.19999999995</v>
      </c>
      <c r="L53" s="21">
        <f>-1026.3-1120.8+15.1</f>
        <v>-2132</v>
      </c>
      <c r="M53" s="22">
        <f>K53+L53</f>
        <v>539420.19999999995</v>
      </c>
      <c r="N53" s="35" t="s">
        <v>391</v>
      </c>
      <c r="O53" s="21">
        <f>34620.3+153.4+34.6-20</f>
        <v>34788.300000000003</v>
      </c>
      <c r="P53" s="22">
        <f t="shared" si="12"/>
        <v>574208.5</v>
      </c>
      <c r="Q53" s="21">
        <f>-92.3+4862.4+36622.6+1661.3+1472.8</f>
        <v>44526.8</v>
      </c>
      <c r="R53" s="22">
        <f t="shared" si="11"/>
        <v>618735.30000000005</v>
      </c>
      <c r="S53" s="40" t="s">
        <v>392</v>
      </c>
      <c r="T53" s="21">
        <f>30.9-289.6+32.9</f>
        <v>-225.80000000000004</v>
      </c>
      <c r="U53" s="22">
        <f>R53+T53</f>
        <v>618509.5</v>
      </c>
      <c r="V53" s="40" t="s">
        <v>393</v>
      </c>
    </row>
    <row r="54" spans="1:22" s="8" customFormat="1" ht="29.25" customHeight="1" collapsed="1" x14ac:dyDescent="0.2">
      <c r="A54" s="6"/>
      <c r="B54" s="72" t="s">
        <v>90</v>
      </c>
      <c r="C54" s="72"/>
      <c r="D54" s="72"/>
      <c r="E54" s="72"/>
      <c r="F54" s="72"/>
      <c r="G54" s="72"/>
      <c r="H54" s="11" t="s">
        <v>0</v>
      </c>
      <c r="I54" s="11" t="s">
        <v>3</v>
      </c>
      <c r="J54" s="11" t="s">
        <v>3</v>
      </c>
      <c r="K54" s="20">
        <f>K55</f>
        <v>326.5</v>
      </c>
      <c r="L54" s="20">
        <f t="shared" ref="L54:U54" si="14">L55</f>
        <v>0</v>
      </c>
      <c r="M54" s="20">
        <f t="shared" si="14"/>
        <v>326.5</v>
      </c>
      <c r="N54" s="34"/>
      <c r="O54" s="31">
        <f t="shared" si="14"/>
        <v>0</v>
      </c>
      <c r="P54" s="31">
        <f t="shared" si="14"/>
        <v>326.5</v>
      </c>
      <c r="Q54" s="31">
        <f t="shared" si="14"/>
        <v>0</v>
      </c>
      <c r="R54" s="31">
        <f t="shared" si="14"/>
        <v>326.5</v>
      </c>
      <c r="S54" s="31">
        <f t="shared" si="14"/>
        <v>0</v>
      </c>
      <c r="T54" s="31">
        <f t="shared" si="14"/>
        <v>-47.8</v>
      </c>
      <c r="U54" s="31">
        <f t="shared" si="14"/>
        <v>278.7</v>
      </c>
      <c r="V54" s="50" t="s">
        <v>335</v>
      </c>
    </row>
    <row r="55" spans="1:22" ht="29.25" hidden="1" customHeight="1" outlineLevel="1" x14ac:dyDescent="0.2">
      <c r="A55" s="9"/>
      <c r="B55" s="27"/>
      <c r="C55" s="60"/>
      <c r="D55" s="84" t="s">
        <v>89</v>
      </c>
      <c r="E55" s="84"/>
      <c r="F55" s="84"/>
      <c r="G55" s="84"/>
      <c r="H55" s="10" t="s">
        <v>0</v>
      </c>
      <c r="I55" s="10" t="s">
        <v>1</v>
      </c>
      <c r="J55" s="10" t="s">
        <v>8</v>
      </c>
      <c r="K55" s="19">
        <v>326.5</v>
      </c>
      <c r="L55" s="21"/>
      <c r="M55" s="22">
        <f>K55+L55</f>
        <v>326.5</v>
      </c>
      <c r="N55" s="33"/>
      <c r="O55" s="21"/>
      <c r="P55" s="22">
        <f t="shared" si="12"/>
        <v>326.5</v>
      </c>
      <c r="Q55" s="21"/>
      <c r="R55" s="22">
        <f t="shared" si="11"/>
        <v>326.5</v>
      </c>
      <c r="S55" s="44"/>
      <c r="T55" s="21">
        <v>-47.8</v>
      </c>
      <c r="U55" s="22">
        <f>R55+T55</f>
        <v>278.7</v>
      </c>
      <c r="V55" s="50" t="s">
        <v>335</v>
      </c>
    </row>
    <row r="56" spans="1:22" s="8" customFormat="1" ht="33.75" customHeight="1" collapsed="1" x14ac:dyDescent="0.2">
      <c r="A56" s="6"/>
      <c r="B56" s="72" t="s">
        <v>93</v>
      </c>
      <c r="C56" s="72"/>
      <c r="D56" s="72"/>
      <c r="E56" s="72"/>
      <c r="F56" s="72"/>
      <c r="G56" s="72"/>
      <c r="H56" s="11" t="s">
        <v>14</v>
      </c>
      <c r="I56" s="11" t="s">
        <v>3</v>
      </c>
      <c r="J56" s="11" t="s">
        <v>3</v>
      </c>
      <c r="K56" s="20">
        <f>K57</f>
        <v>26898</v>
      </c>
      <c r="L56" s="20">
        <f t="shared" ref="L56:U56" si="15">L57</f>
        <v>0</v>
      </c>
      <c r="M56" s="20">
        <f t="shared" si="15"/>
        <v>26898</v>
      </c>
      <c r="N56" s="34"/>
      <c r="O56" s="31">
        <f t="shared" si="15"/>
        <v>1071.0999999999999</v>
      </c>
      <c r="P56" s="31">
        <f t="shared" si="15"/>
        <v>27969.1</v>
      </c>
      <c r="Q56" s="31">
        <f t="shared" si="15"/>
        <v>2522.3000000000002</v>
      </c>
      <c r="R56" s="31">
        <f t="shared" si="15"/>
        <v>30491.399999999998</v>
      </c>
      <c r="S56" s="46" t="s">
        <v>394</v>
      </c>
      <c r="T56" s="31">
        <f t="shared" si="15"/>
        <v>0</v>
      </c>
      <c r="U56" s="31">
        <f t="shared" si="15"/>
        <v>30491.399999999998</v>
      </c>
      <c r="V56" s="46"/>
    </row>
    <row r="57" spans="1:22" ht="74.25" hidden="1" customHeight="1" outlineLevel="1" x14ac:dyDescent="0.2">
      <c r="A57" s="9"/>
      <c r="B57" s="27"/>
      <c r="C57" s="60"/>
      <c r="D57" s="84" t="s">
        <v>94</v>
      </c>
      <c r="E57" s="84"/>
      <c r="F57" s="84"/>
      <c r="G57" s="84"/>
      <c r="H57" s="10" t="s">
        <v>14</v>
      </c>
      <c r="I57" s="10" t="s">
        <v>1</v>
      </c>
      <c r="J57" s="10" t="s">
        <v>8</v>
      </c>
      <c r="K57" s="19">
        <v>26898</v>
      </c>
      <c r="L57" s="21"/>
      <c r="M57" s="22">
        <f>K57+L57</f>
        <v>26898</v>
      </c>
      <c r="N57" s="33"/>
      <c r="O57" s="21">
        <f>37.6+1033.5</f>
        <v>1071.0999999999999</v>
      </c>
      <c r="P57" s="22">
        <f t="shared" si="12"/>
        <v>27969.1</v>
      </c>
      <c r="Q57" s="21">
        <f>2465.9+56.4</f>
        <v>2522.3000000000002</v>
      </c>
      <c r="R57" s="22">
        <f t="shared" si="11"/>
        <v>30491.399999999998</v>
      </c>
      <c r="S57" s="40" t="s">
        <v>395</v>
      </c>
      <c r="T57" s="21"/>
      <c r="U57" s="22">
        <f>R57+T57</f>
        <v>30491.399999999998</v>
      </c>
      <c r="V57" s="40"/>
    </row>
    <row r="58" spans="1:22" s="8" customFormat="1" ht="33.75" customHeight="1" collapsed="1" x14ac:dyDescent="0.2">
      <c r="A58" s="6"/>
      <c r="B58" s="72" t="s">
        <v>96</v>
      </c>
      <c r="C58" s="72"/>
      <c r="D58" s="72"/>
      <c r="E58" s="72"/>
      <c r="F58" s="72"/>
      <c r="G58" s="72"/>
      <c r="H58" s="11" t="s">
        <v>31</v>
      </c>
      <c r="I58" s="11" t="s">
        <v>3</v>
      </c>
      <c r="J58" s="11" t="s">
        <v>3</v>
      </c>
      <c r="K58" s="20">
        <f>K59+K65</f>
        <v>337837.7</v>
      </c>
      <c r="L58" s="20">
        <f>L59+L65</f>
        <v>0</v>
      </c>
      <c r="M58" s="20">
        <f>M59+M65</f>
        <v>337837.7</v>
      </c>
      <c r="N58" s="34"/>
      <c r="O58" s="31">
        <f>O59+O65</f>
        <v>13268.500000000002</v>
      </c>
      <c r="P58" s="31">
        <f>P59+P65</f>
        <v>351106.2</v>
      </c>
      <c r="Q58" s="31">
        <f>Q59+Q65</f>
        <v>27182.199999999997</v>
      </c>
      <c r="R58" s="31">
        <f>R59+R65</f>
        <v>378288.4</v>
      </c>
      <c r="S58" s="46"/>
      <c r="T58" s="31">
        <f>T59+T65</f>
        <v>335.79999999999995</v>
      </c>
      <c r="U58" s="31">
        <f>U59+U65</f>
        <v>378624.2</v>
      </c>
      <c r="V58" s="46"/>
    </row>
    <row r="59" spans="1:22" ht="66.75" customHeight="1" x14ac:dyDescent="0.2">
      <c r="A59" s="9"/>
      <c r="B59" s="26"/>
      <c r="C59" s="84" t="s">
        <v>98</v>
      </c>
      <c r="D59" s="84"/>
      <c r="E59" s="84"/>
      <c r="F59" s="84"/>
      <c r="G59" s="84"/>
      <c r="H59" s="10" t="s">
        <v>31</v>
      </c>
      <c r="I59" s="10" t="s">
        <v>13</v>
      </c>
      <c r="J59" s="10" t="s">
        <v>3</v>
      </c>
      <c r="K59" s="19">
        <f>K60+K61+K62+K63+K64</f>
        <v>308520.8</v>
      </c>
      <c r="L59" s="19">
        <f>L60+L61+L62+L63+L64</f>
        <v>1158.5999999999999</v>
      </c>
      <c r="M59" s="19">
        <f>M60+M61+M62+M63+M64</f>
        <v>309679.40000000002</v>
      </c>
      <c r="N59" s="36" t="s">
        <v>213</v>
      </c>
      <c r="O59" s="21">
        <f>O60+O61+O62+O63+O64</f>
        <v>13268.500000000002</v>
      </c>
      <c r="P59" s="21">
        <f>P60+P61+P62+P63+P64</f>
        <v>322947.90000000002</v>
      </c>
      <c r="Q59" s="21">
        <f>Q60+Q61+Q62+Q63+Q64</f>
        <v>27182.199999999997</v>
      </c>
      <c r="R59" s="21">
        <f>R60+R61+R62+R63+R64</f>
        <v>350130.10000000003</v>
      </c>
      <c r="S59" s="46" t="s">
        <v>396</v>
      </c>
      <c r="T59" s="21">
        <f>T60+T61+T62+T63+T64</f>
        <v>335.79999999999995</v>
      </c>
      <c r="U59" s="21">
        <f>U60+U61+U62+U63+U64</f>
        <v>350465.9</v>
      </c>
      <c r="V59" s="46" t="s">
        <v>350</v>
      </c>
    </row>
    <row r="60" spans="1:22" ht="45.75" hidden="1" customHeight="1" outlineLevel="1" x14ac:dyDescent="0.2">
      <c r="A60" s="9"/>
      <c r="B60" s="27"/>
      <c r="C60" s="60"/>
      <c r="D60" s="84" t="s">
        <v>95</v>
      </c>
      <c r="E60" s="84"/>
      <c r="F60" s="84"/>
      <c r="G60" s="84"/>
      <c r="H60" s="10" t="s">
        <v>31</v>
      </c>
      <c r="I60" s="10" t="s">
        <v>13</v>
      </c>
      <c r="J60" s="10" t="s">
        <v>8</v>
      </c>
      <c r="K60" s="19">
        <v>90</v>
      </c>
      <c r="L60" s="21"/>
      <c r="M60" s="22">
        <f>K60+L60</f>
        <v>90</v>
      </c>
      <c r="N60" s="33"/>
      <c r="O60" s="21"/>
      <c r="P60" s="22">
        <f>M60+O60</f>
        <v>90</v>
      </c>
      <c r="Q60" s="21"/>
      <c r="R60" s="22">
        <f t="shared" ref="R60:R69" si="16">P60+Q60</f>
        <v>90</v>
      </c>
      <c r="S60" s="44"/>
      <c r="T60" s="21">
        <v>129.30000000000001</v>
      </c>
      <c r="U60" s="22">
        <f>R60+T60</f>
        <v>219.3</v>
      </c>
      <c r="V60" s="64" t="s">
        <v>362</v>
      </c>
    </row>
    <row r="61" spans="1:22" ht="46.5" hidden="1" customHeight="1" outlineLevel="1" x14ac:dyDescent="0.2">
      <c r="A61" s="9"/>
      <c r="B61" s="27"/>
      <c r="C61" s="60"/>
      <c r="D61" s="84" t="s">
        <v>97</v>
      </c>
      <c r="E61" s="84"/>
      <c r="F61" s="84"/>
      <c r="G61" s="84"/>
      <c r="H61" s="10" t="s">
        <v>31</v>
      </c>
      <c r="I61" s="10" t="s">
        <v>13</v>
      </c>
      <c r="J61" s="10" t="s">
        <v>7</v>
      </c>
      <c r="K61" s="19">
        <v>2448</v>
      </c>
      <c r="L61" s="21"/>
      <c r="M61" s="22">
        <f>K61+L61</f>
        <v>2448</v>
      </c>
      <c r="N61" s="33"/>
      <c r="O61" s="21"/>
      <c r="P61" s="22">
        <f>M61+O61</f>
        <v>2448</v>
      </c>
      <c r="Q61" s="21"/>
      <c r="R61" s="22">
        <f t="shared" si="16"/>
        <v>2448</v>
      </c>
      <c r="S61" s="44"/>
      <c r="T61" s="21">
        <v>-129.30000000000001</v>
      </c>
      <c r="U61" s="22">
        <f>R61+T61</f>
        <v>2318.6999999999998</v>
      </c>
      <c r="V61" s="64" t="s">
        <v>361</v>
      </c>
    </row>
    <row r="62" spans="1:22" ht="75.75" hidden="1" customHeight="1" outlineLevel="1" x14ac:dyDescent="0.2">
      <c r="A62" s="9"/>
      <c r="B62" s="27"/>
      <c r="C62" s="60"/>
      <c r="D62" s="84" t="s">
        <v>291</v>
      </c>
      <c r="E62" s="84"/>
      <c r="F62" s="84"/>
      <c r="G62" s="84"/>
      <c r="H62" s="10" t="s">
        <v>31</v>
      </c>
      <c r="I62" s="10" t="s">
        <v>13</v>
      </c>
      <c r="J62" s="10" t="s">
        <v>6</v>
      </c>
      <c r="K62" s="19">
        <v>4165.8</v>
      </c>
      <c r="L62" s="21">
        <f>1158.6</f>
        <v>1158.5999999999999</v>
      </c>
      <c r="M62" s="22">
        <f>K62+L62</f>
        <v>5324.4</v>
      </c>
      <c r="N62" s="32" t="s">
        <v>213</v>
      </c>
      <c r="O62" s="21">
        <f>150</f>
        <v>150</v>
      </c>
      <c r="P62" s="22">
        <f>M62+O62</f>
        <v>5474.4</v>
      </c>
      <c r="Q62" s="21">
        <f>650+1413</f>
        <v>2063</v>
      </c>
      <c r="R62" s="22">
        <f t="shared" si="16"/>
        <v>7537.4</v>
      </c>
      <c r="S62" s="55" t="s">
        <v>277</v>
      </c>
      <c r="T62" s="21">
        <f>-0.9-208</f>
        <v>-208.9</v>
      </c>
      <c r="U62" s="22">
        <f>R62+T62</f>
        <v>7328.5</v>
      </c>
      <c r="V62" s="66" t="s">
        <v>418</v>
      </c>
    </row>
    <row r="63" spans="1:22" ht="141" hidden="1" customHeight="1" outlineLevel="1" x14ac:dyDescent="0.2">
      <c r="A63" s="9"/>
      <c r="B63" s="27"/>
      <c r="C63" s="60"/>
      <c r="D63" s="84" t="s">
        <v>99</v>
      </c>
      <c r="E63" s="84"/>
      <c r="F63" s="84"/>
      <c r="G63" s="84"/>
      <c r="H63" s="10" t="s">
        <v>31</v>
      </c>
      <c r="I63" s="10" t="s">
        <v>13</v>
      </c>
      <c r="J63" s="10" t="s">
        <v>5</v>
      </c>
      <c r="K63" s="19">
        <v>284540.09999999998</v>
      </c>
      <c r="L63" s="21"/>
      <c r="M63" s="22">
        <f>K63+L63</f>
        <v>284540.09999999998</v>
      </c>
      <c r="N63" s="33"/>
      <c r="O63" s="21">
        <f>4019.6+2050.5+2183.6+671.5+1239.6+630.6+2323.1</f>
        <v>13118.500000000002</v>
      </c>
      <c r="P63" s="22">
        <f>M63+O63</f>
        <v>297658.59999999998</v>
      </c>
      <c r="Q63" s="21">
        <f>300+16634.9+1084.1+551+(957.3+470)+4089.1+1032.8</f>
        <v>25119.199999999997</v>
      </c>
      <c r="R63" s="22">
        <f>P63+Q63</f>
        <v>322777.8</v>
      </c>
      <c r="S63" s="46" t="s">
        <v>397</v>
      </c>
      <c r="T63" s="21">
        <f>335.8+0.9+111.5</f>
        <v>448.2</v>
      </c>
      <c r="U63" s="22">
        <f>R63+T63</f>
        <v>323226</v>
      </c>
      <c r="V63" s="46" t="s">
        <v>419</v>
      </c>
    </row>
    <row r="64" spans="1:22" ht="50.25" hidden="1" customHeight="1" outlineLevel="1" x14ac:dyDescent="0.2">
      <c r="A64" s="9"/>
      <c r="B64" s="27"/>
      <c r="C64" s="60"/>
      <c r="D64" s="84" t="s">
        <v>100</v>
      </c>
      <c r="E64" s="84"/>
      <c r="F64" s="84"/>
      <c r="G64" s="84"/>
      <c r="H64" s="10" t="s">
        <v>31</v>
      </c>
      <c r="I64" s="10" t="s">
        <v>13</v>
      </c>
      <c r="J64" s="10" t="s">
        <v>4</v>
      </c>
      <c r="K64" s="19">
        <v>17276.900000000001</v>
      </c>
      <c r="L64" s="21"/>
      <c r="M64" s="22">
        <f>K64+L64</f>
        <v>17276.900000000001</v>
      </c>
      <c r="N64" s="33"/>
      <c r="O64" s="21"/>
      <c r="P64" s="22">
        <f>M64+O64</f>
        <v>17276.900000000001</v>
      </c>
      <c r="Q64" s="21"/>
      <c r="R64" s="22">
        <f t="shared" si="16"/>
        <v>17276.900000000001</v>
      </c>
      <c r="S64" s="48"/>
      <c r="T64" s="21">
        <f>96.5</f>
        <v>96.5</v>
      </c>
      <c r="U64" s="22">
        <f>R64+T64</f>
        <v>17373.400000000001</v>
      </c>
      <c r="V64" s="46" t="s">
        <v>420</v>
      </c>
    </row>
    <row r="65" spans="1:22" ht="29.25" customHeight="1" collapsed="1" x14ac:dyDescent="0.2">
      <c r="A65" s="9"/>
      <c r="B65" s="26"/>
      <c r="C65" s="84" t="s">
        <v>101</v>
      </c>
      <c r="D65" s="84"/>
      <c r="E65" s="84"/>
      <c r="F65" s="84"/>
      <c r="G65" s="84"/>
      <c r="H65" s="10" t="s">
        <v>31</v>
      </c>
      <c r="I65" s="10" t="s">
        <v>9</v>
      </c>
      <c r="J65" s="10" t="s">
        <v>3</v>
      </c>
      <c r="K65" s="19">
        <f>K66+K67+K68+K69</f>
        <v>29316.9</v>
      </c>
      <c r="L65" s="19">
        <f>L66+L67+L68+L69</f>
        <v>-1158.5999999999999</v>
      </c>
      <c r="M65" s="21">
        <f>M66+M67+M68+M69</f>
        <v>28158.3</v>
      </c>
      <c r="N65" s="37" t="s">
        <v>214</v>
      </c>
      <c r="O65" s="21">
        <f t="shared" ref="O65:U65" si="17">O66+O67+O68+O69</f>
        <v>0</v>
      </c>
      <c r="P65" s="21">
        <f t="shared" si="17"/>
        <v>28158.3</v>
      </c>
      <c r="Q65" s="21">
        <f t="shared" si="17"/>
        <v>0</v>
      </c>
      <c r="R65" s="21">
        <f t="shared" si="17"/>
        <v>28158.3</v>
      </c>
      <c r="S65" s="21">
        <f t="shared" si="17"/>
        <v>0</v>
      </c>
      <c r="T65" s="21">
        <f t="shared" si="17"/>
        <v>0</v>
      </c>
      <c r="U65" s="21">
        <f t="shared" si="17"/>
        <v>28158.3</v>
      </c>
      <c r="V65" s="44"/>
    </row>
    <row r="66" spans="1:22" ht="51.75" hidden="1" customHeight="1" outlineLevel="1" x14ac:dyDescent="0.2">
      <c r="A66" s="9"/>
      <c r="B66" s="27"/>
      <c r="C66" s="60"/>
      <c r="D66" s="84" t="s">
        <v>398</v>
      </c>
      <c r="E66" s="84"/>
      <c r="F66" s="84"/>
      <c r="G66" s="84"/>
      <c r="H66" s="10" t="s">
        <v>31</v>
      </c>
      <c r="I66" s="10" t="s">
        <v>9</v>
      </c>
      <c r="J66" s="10" t="s">
        <v>8</v>
      </c>
      <c r="K66" s="19">
        <v>12241.9</v>
      </c>
      <c r="L66" s="21"/>
      <c r="M66" s="22">
        <f>K66+L66</f>
        <v>12241.9</v>
      </c>
      <c r="N66" s="33"/>
      <c r="O66" s="21"/>
      <c r="P66" s="22">
        <f>M66+O66</f>
        <v>12241.9</v>
      </c>
      <c r="Q66" s="21"/>
      <c r="R66" s="22">
        <f t="shared" si="16"/>
        <v>12241.9</v>
      </c>
      <c r="S66" s="44"/>
      <c r="T66" s="21"/>
      <c r="U66" s="22">
        <f>R66+T66</f>
        <v>12241.9</v>
      </c>
      <c r="V66" s="63"/>
    </row>
    <row r="67" spans="1:22" ht="40.5" hidden="1" customHeight="1" outlineLevel="1" x14ac:dyDescent="0.2">
      <c r="A67" s="9"/>
      <c r="B67" s="27"/>
      <c r="C67" s="60"/>
      <c r="D67" s="84" t="s">
        <v>102</v>
      </c>
      <c r="E67" s="84"/>
      <c r="F67" s="84"/>
      <c r="G67" s="84"/>
      <c r="H67" s="10" t="s">
        <v>31</v>
      </c>
      <c r="I67" s="10" t="s">
        <v>9</v>
      </c>
      <c r="J67" s="10" t="s">
        <v>7</v>
      </c>
      <c r="K67" s="19">
        <v>1369.6</v>
      </c>
      <c r="L67" s="21">
        <f>-1158.6</f>
        <v>-1158.5999999999999</v>
      </c>
      <c r="M67" s="22">
        <f>K67+L67</f>
        <v>211</v>
      </c>
      <c r="N67" s="32" t="s">
        <v>214</v>
      </c>
      <c r="O67" s="21"/>
      <c r="P67" s="22">
        <f>M67+O67</f>
        <v>211</v>
      </c>
      <c r="Q67" s="21"/>
      <c r="R67" s="22">
        <f t="shared" si="16"/>
        <v>211</v>
      </c>
      <c r="S67" s="44"/>
      <c r="T67" s="21"/>
      <c r="U67" s="22">
        <f>R67+T67</f>
        <v>211</v>
      </c>
      <c r="V67" s="44"/>
    </row>
    <row r="68" spans="1:22" ht="27.75" hidden="1" customHeight="1" outlineLevel="1" x14ac:dyDescent="0.2">
      <c r="A68" s="9"/>
      <c r="B68" s="27"/>
      <c r="C68" s="60"/>
      <c r="D68" s="84" t="s">
        <v>103</v>
      </c>
      <c r="E68" s="84"/>
      <c r="F68" s="84"/>
      <c r="G68" s="84"/>
      <c r="H68" s="10" t="s">
        <v>31</v>
      </c>
      <c r="I68" s="10" t="s">
        <v>9</v>
      </c>
      <c r="J68" s="10" t="s">
        <v>11</v>
      </c>
      <c r="K68" s="19">
        <v>14223.9</v>
      </c>
      <c r="L68" s="21"/>
      <c r="M68" s="22">
        <f>K68+L68</f>
        <v>14223.9</v>
      </c>
      <c r="N68" s="33"/>
      <c r="O68" s="21"/>
      <c r="P68" s="22">
        <f>M68+O68</f>
        <v>14223.9</v>
      </c>
      <c r="Q68" s="21"/>
      <c r="R68" s="22">
        <f t="shared" si="16"/>
        <v>14223.9</v>
      </c>
      <c r="S68" s="44"/>
      <c r="T68" s="21"/>
      <c r="U68" s="22">
        <f>R68+T68</f>
        <v>14223.9</v>
      </c>
      <c r="V68" s="44"/>
    </row>
    <row r="69" spans="1:22" ht="26.25" hidden="1" customHeight="1" outlineLevel="1" x14ac:dyDescent="0.2">
      <c r="A69" s="9"/>
      <c r="B69" s="27"/>
      <c r="C69" s="60"/>
      <c r="D69" s="84" t="s">
        <v>104</v>
      </c>
      <c r="E69" s="84"/>
      <c r="F69" s="84"/>
      <c r="G69" s="84"/>
      <c r="H69" s="10" t="s">
        <v>31</v>
      </c>
      <c r="I69" s="10" t="s">
        <v>9</v>
      </c>
      <c r="J69" s="10" t="s">
        <v>5</v>
      </c>
      <c r="K69" s="19">
        <v>1481.5</v>
      </c>
      <c r="L69" s="21"/>
      <c r="M69" s="22">
        <f>K69+L69</f>
        <v>1481.5</v>
      </c>
      <c r="N69" s="33"/>
      <c r="O69" s="21"/>
      <c r="P69" s="22">
        <f>M69+O69</f>
        <v>1481.5</v>
      </c>
      <c r="Q69" s="21"/>
      <c r="R69" s="22">
        <f t="shared" si="16"/>
        <v>1481.5</v>
      </c>
      <c r="S69" s="44"/>
      <c r="T69" s="21"/>
      <c r="U69" s="22">
        <f>R69+T69</f>
        <v>1481.5</v>
      </c>
      <c r="V69" s="44"/>
    </row>
    <row r="70" spans="1:22" s="8" customFormat="1" ht="95.25" customHeight="1" collapsed="1" x14ac:dyDescent="0.2">
      <c r="A70" s="6"/>
      <c r="B70" s="72" t="s">
        <v>105</v>
      </c>
      <c r="C70" s="72"/>
      <c r="D70" s="72"/>
      <c r="E70" s="72"/>
      <c r="F70" s="72"/>
      <c r="G70" s="72"/>
      <c r="H70" s="11" t="s">
        <v>30</v>
      </c>
      <c r="I70" s="11" t="s">
        <v>3</v>
      </c>
      <c r="J70" s="11" t="s">
        <v>3</v>
      </c>
      <c r="K70" s="20">
        <f>K71+K72</f>
        <v>29187</v>
      </c>
      <c r="L70" s="20">
        <f>L71+L72</f>
        <v>8203.5000000000018</v>
      </c>
      <c r="M70" s="31">
        <f>M71+M72</f>
        <v>37390.5</v>
      </c>
      <c r="N70" s="37" t="s">
        <v>248</v>
      </c>
      <c r="O70" s="31">
        <f>O71+O72</f>
        <v>14357</v>
      </c>
      <c r="P70" s="31">
        <f>P71+P72</f>
        <v>51747.5</v>
      </c>
      <c r="Q70" s="31">
        <f>Q71+Q72</f>
        <v>11728.399999999998</v>
      </c>
      <c r="R70" s="31">
        <f>R71+R72</f>
        <v>63475.9</v>
      </c>
      <c r="S70" s="49" t="s">
        <v>322</v>
      </c>
      <c r="T70" s="31">
        <f>T71+T72</f>
        <v>-8265.2000000000007</v>
      </c>
      <c r="U70" s="31">
        <f>U71+U72</f>
        <v>55210.700000000004</v>
      </c>
      <c r="V70" s="49" t="s">
        <v>343</v>
      </c>
    </row>
    <row r="71" spans="1:22" ht="94.5" hidden="1" customHeight="1" outlineLevel="1" x14ac:dyDescent="0.2">
      <c r="A71" s="9"/>
      <c r="B71" s="27"/>
      <c r="C71" s="60"/>
      <c r="D71" s="84" t="s">
        <v>106</v>
      </c>
      <c r="E71" s="84"/>
      <c r="F71" s="84"/>
      <c r="G71" s="84"/>
      <c r="H71" s="10" t="s">
        <v>30</v>
      </c>
      <c r="I71" s="10" t="s">
        <v>1</v>
      </c>
      <c r="J71" s="10" t="s">
        <v>8</v>
      </c>
      <c r="K71" s="19">
        <v>16147</v>
      </c>
      <c r="L71" s="21">
        <f>5066+1980-7360-324.9-1265.2-232.3+8859+1741-99.8-35-115.3-10</f>
        <v>8203.5000000000018</v>
      </c>
      <c r="M71" s="22">
        <f>K71+L71</f>
        <v>24350.5</v>
      </c>
      <c r="N71" s="32" t="s">
        <v>247</v>
      </c>
      <c r="O71" s="21">
        <f>-600+25+594+12800+75+1343-30</f>
        <v>14207</v>
      </c>
      <c r="P71" s="22">
        <f>M71+O71</f>
        <v>38557.5</v>
      </c>
      <c r="Q71" s="21">
        <f>-100.3-1614-633-40.3-37.5-517.4-6265.8-98-37.5+6265.8+1614+6600+700</f>
        <v>5835.9999999999991</v>
      </c>
      <c r="R71" s="22">
        <f>P71+Q71</f>
        <v>44393.5</v>
      </c>
      <c r="S71" s="49" t="s">
        <v>273</v>
      </c>
      <c r="T71" s="21">
        <f>-657.4-530.4-6702.8</f>
        <v>-7890.6</v>
      </c>
      <c r="U71" s="22">
        <f>R71+T71</f>
        <v>36502.9</v>
      </c>
      <c r="V71" s="49" t="s">
        <v>341</v>
      </c>
    </row>
    <row r="72" spans="1:22" ht="58.5" hidden="1" customHeight="1" outlineLevel="1" x14ac:dyDescent="0.2">
      <c r="A72" s="9"/>
      <c r="B72" s="27"/>
      <c r="C72" s="60"/>
      <c r="D72" s="84" t="s">
        <v>107</v>
      </c>
      <c r="E72" s="84"/>
      <c r="F72" s="84"/>
      <c r="G72" s="84"/>
      <c r="H72" s="10" t="s">
        <v>30</v>
      </c>
      <c r="I72" s="10" t="s">
        <v>1</v>
      </c>
      <c r="J72" s="10" t="s">
        <v>7</v>
      </c>
      <c r="K72" s="19">
        <v>13040</v>
      </c>
      <c r="L72" s="21"/>
      <c r="M72" s="22">
        <f>K72+L72</f>
        <v>13040</v>
      </c>
      <c r="N72" s="33"/>
      <c r="O72" s="21">
        <v>150</v>
      </c>
      <c r="P72" s="22">
        <f>M72+O72</f>
        <v>13190</v>
      </c>
      <c r="Q72" s="21">
        <v>5892.4</v>
      </c>
      <c r="R72" s="22">
        <f>P72+Q72</f>
        <v>19082.400000000001</v>
      </c>
      <c r="S72" s="49" t="s">
        <v>292</v>
      </c>
      <c r="T72" s="21">
        <v>-374.6</v>
      </c>
      <c r="U72" s="22">
        <f>R72+T72</f>
        <v>18707.800000000003</v>
      </c>
      <c r="V72" s="49" t="s">
        <v>342</v>
      </c>
    </row>
    <row r="73" spans="1:22" s="8" customFormat="1" ht="27.75" customHeight="1" collapsed="1" x14ac:dyDescent="0.2">
      <c r="A73" s="6"/>
      <c r="B73" s="72" t="s">
        <v>108</v>
      </c>
      <c r="C73" s="72"/>
      <c r="D73" s="72"/>
      <c r="E73" s="72"/>
      <c r="F73" s="72"/>
      <c r="G73" s="72"/>
      <c r="H73" s="11" t="s">
        <v>29</v>
      </c>
      <c r="I73" s="11" t="s">
        <v>3</v>
      </c>
      <c r="J73" s="11" t="s">
        <v>3</v>
      </c>
      <c r="K73" s="20">
        <f>K74+K76+K80</f>
        <v>68364.600000000006</v>
      </c>
      <c r="L73" s="20">
        <f>L74+L76+L80</f>
        <v>174705.4</v>
      </c>
      <c r="M73" s="20">
        <f>M74+M76+M80</f>
        <v>243070</v>
      </c>
      <c r="N73" s="34"/>
      <c r="O73" s="31">
        <f>O74+O76+O80</f>
        <v>1930</v>
      </c>
      <c r="P73" s="31">
        <f>P74+P76+P80</f>
        <v>245000</v>
      </c>
      <c r="Q73" s="31">
        <f>Q74+Q76+Q80</f>
        <v>89511.1</v>
      </c>
      <c r="R73" s="31">
        <f>R74+R76+R80</f>
        <v>334511.10000000003</v>
      </c>
      <c r="S73" s="45"/>
      <c r="T73" s="31">
        <f>T74+T76+T80</f>
        <v>368.20000000000073</v>
      </c>
      <c r="U73" s="31">
        <f>U74+U76+U80</f>
        <v>334879.30000000005</v>
      </c>
      <c r="V73" s="45"/>
    </row>
    <row r="74" spans="1:22" ht="31.5" customHeight="1" x14ac:dyDescent="0.2">
      <c r="A74" s="9"/>
      <c r="B74" s="26"/>
      <c r="C74" s="84" t="s">
        <v>109</v>
      </c>
      <c r="D74" s="84"/>
      <c r="E74" s="84"/>
      <c r="F74" s="84"/>
      <c r="G74" s="84"/>
      <c r="H74" s="10" t="s">
        <v>29</v>
      </c>
      <c r="I74" s="10" t="s">
        <v>13</v>
      </c>
      <c r="J74" s="10" t="s">
        <v>3</v>
      </c>
      <c r="K74" s="19">
        <f>K75</f>
        <v>1096.2</v>
      </c>
      <c r="L74" s="19">
        <f t="shared" ref="L74:U74" si="18">L75</f>
        <v>392.9</v>
      </c>
      <c r="M74" s="19">
        <f t="shared" si="18"/>
        <v>1489.1</v>
      </c>
      <c r="N74" s="35" t="s">
        <v>223</v>
      </c>
      <c r="O74" s="21">
        <f t="shared" si="18"/>
        <v>0</v>
      </c>
      <c r="P74" s="21">
        <f t="shared" si="18"/>
        <v>1489.1</v>
      </c>
      <c r="Q74" s="21">
        <f t="shared" si="18"/>
        <v>0</v>
      </c>
      <c r="R74" s="21">
        <f t="shared" si="18"/>
        <v>1489.1</v>
      </c>
      <c r="S74" s="44"/>
      <c r="T74" s="21">
        <f t="shared" si="18"/>
        <v>0</v>
      </c>
      <c r="U74" s="21">
        <f t="shared" si="18"/>
        <v>1489.1</v>
      </c>
      <c r="V74" s="44"/>
    </row>
    <row r="75" spans="1:22" ht="36.75" hidden="1" customHeight="1" outlineLevel="1" x14ac:dyDescent="0.2">
      <c r="A75" s="9"/>
      <c r="B75" s="27"/>
      <c r="C75" s="60"/>
      <c r="D75" s="84" t="s">
        <v>110</v>
      </c>
      <c r="E75" s="84"/>
      <c r="F75" s="84"/>
      <c r="G75" s="84"/>
      <c r="H75" s="10" t="s">
        <v>29</v>
      </c>
      <c r="I75" s="10" t="s">
        <v>13</v>
      </c>
      <c r="J75" s="10" t="s">
        <v>8</v>
      </c>
      <c r="K75" s="19">
        <v>1096.2</v>
      </c>
      <c r="L75" s="21">
        <f>29.3+343.9+19.7</f>
        <v>392.9</v>
      </c>
      <c r="M75" s="22">
        <f>K75+L75</f>
        <v>1489.1</v>
      </c>
      <c r="N75" s="35" t="s">
        <v>223</v>
      </c>
      <c r="O75" s="21"/>
      <c r="P75" s="22">
        <f>M75+O75</f>
        <v>1489.1</v>
      </c>
      <c r="Q75" s="21"/>
      <c r="R75" s="22">
        <f t="shared" ref="R75:R86" si="19">P75+Q75</f>
        <v>1489.1</v>
      </c>
      <c r="S75" s="44"/>
      <c r="T75" s="21"/>
      <c r="U75" s="22">
        <f>R75+T75</f>
        <v>1489.1</v>
      </c>
      <c r="V75" s="44"/>
    </row>
    <row r="76" spans="1:22" ht="74.25" customHeight="1" collapsed="1" x14ac:dyDescent="0.2">
      <c r="A76" s="9"/>
      <c r="B76" s="26"/>
      <c r="C76" s="84" t="s">
        <v>111</v>
      </c>
      <c r="D76" s="84"/>
      <c r="E76" s="84"/>
      <c r="F76" s="84"/>
      <c r="G76" s="84"/>
      <c r="H76" s="10" t="s">
        <v>29</v>
      </c>
      <c r="I76" s="10" t="s">
        <v>9</v>
      </c>
      <c r="J76" s="10" t="s">
        <v>3</v>
      </c>
      <c r="K76" s="19">
        <f>K77+K78</f>
        <v>7991.9000000000005</v>
      </c>
      <c r="L76" s="19">
        <f>L77+L78</f>
        <v>0</v>
      </c>
      <c r="M76" s="19">
        <f>M77+M78</f>
        <v>7991.9000000000005</v>
      </c>
      <c r="N76" s="33"/>
      <c r="O76" s="21">
        <f>O77+O78</f>
        <v>0</v>
      </c>
      <c r="P76" s="21">
        <f t="shared" ref="P76:U76" si="20">P77+P78+P79</f>
        <v>7991.9000000000005</v>
      </c>
      <c r="Q76" s="21">
        <f t="shared" si="20"/>
        <v>87485.2</v>
      </c>
      <c r="R76" s="21">
        <f t="shared" si="20"/>
        <v>95477.099999999991</v>
      </c>
      <c r="S76" s="21" t="e">
        <f t="shared" si="20"/>
        <v>#VALUE!</v>
      </c>
      <c r="T76" s="21">
        <f t="shared" si="20"/>
        <v>-10182.5</v>
      </c>
      <c r="U76" s="21">
        <f t="shared" si="20"/>
        <v>85294.599999999991</v>
      </c>
      <c r="V76" s="49" t="s">
        <v>378</v>
      </c>
    </row>
    <row r="77" spans="1:22" ht="33" hidden="1" customHeight="1" outlineLevel="1" x14ac:dyDescent="0.2">
      <c r="A77" s="9"/>
      <c r="B77" s="27"/>
      <c r="C77" s="60"/>
      <c r="D77" s="84" t="s">
        <v>112</v>
      </c>
      <c r="E77" s="84"/>
      <c r="F77" s="84"/>
      <c r="G77" s="84"/>
      <c r="H77" s="10" t="s">
        <v>29</v>
      </c>
      <c r="I77" s="10" t="s">
        <v>9</v>
      </c>
      <c r="J77" s="10" t="s">
        <v>8</v>
      </c>
      <c r="K77" s="19">
        <v>7989.6</v>
      </c>
      <c r="L77" s="21"/>
      <c r="M77" s="22">
        <f>K77+L77</f>
        <v>7989.6</v>
      </c>
      <c r="N77" s="33"/>
      <c r="O77" s="21"/>
      <c r="P77" s="22">
        <f>M77+O77</f>
        <v>7989.6</v>
      </c>
      <c r="Q77" s="21"/>
      <c r="R77" s="22">
        <f t="shared" si="19"/>
        <v>7989.6</v>
      </c>
      <c r="S77" s="44"/>
      <c r="T77" s="21"/>
      <c r="U77" s="22">
        <f>R77+T77</f>
        <v>7989.6</v>
      </c>
      <c r="V77" s="44"/>
    </row>
    <row r="78" spans="1:22" ht="63" hidden="1" customHeight="1" outlineLevel="1" x14ac:dyDescent="0.2">
      <c r="A78" s="9"/>
      <c r="B78" s="27"/>
      <c r="C78" s="60"/>
      <c r="D78" s="84" t="s">
        <v>113</v>
      </c>
      <c r="E78" s="84"/>
      <c r="F78" s="84"/>
      <c r="G78" s="84"/>
      <c r="H78" s="10" t="s">
        <v>29</v>
      </c>
      <c r="I78" s="10" t="s">
        <v>9</v>
      </c>
      <c r="J78" s="10" t="s">
        <v>7</v>
      </c>
      <c r="K78" s="19">
        <v>2.2999999999999998</v>
      </c>
      <c r="L78" s="21"/>
      <c r="M78" s="22">
        <f>K78+L78</f>
        <v>2.2999999999999998</v>
      </c>
      <c r="N78" s="33"/>
      <c r="O78" s="21"/>
      <c r="P78" s="22">
        <f>M78+O78</f>
        <v>2.2999999999999998</v>
      </c>
      <c r="Q78" s="21"/>
      <c r="R78" s="22">
        <f t="shared" si="19"/>
        <v>2.2999999999999998</v>
      </c>
      <c r="S78" s="58" t="s">
        <v>309</v>
      </c>
      <c r="T78" s="21"/>
      <c r="U78" s="22">
        <f>R78+T78</f>
        <v>2.2999999999999998</v>
      </c>
      <c r="V78" s="58"/>
    </row>
    <row r="79" spans="1:22" ht="84" hidden="1" customHeight="1" outlineLevel="1" x14ac:dyDescent="0.2">
      <c r="A79" s="9"/>
      <c r="B79" s="26"/>
      <c r="C79" s="60"/>
      <c r="D79" s="59"/>
      <c r="E79" s="59"/>
      <c r="F79" s="59"/>
      <c r="G79" s="59" t="s">
        <v>310</v>
      </c>
      <c r="H79" s="10" t="s">
        <v>29</v>
      </c>
      <c r="I79" s="10" t="s">
        <v>9</v>
      </c>
      <c r="J79" s="25" t="s">
        <v>11</v>
      </c>
      <c r="K79" s="19"/>
      <c r="L79" s="19"/>
      <c r="M79" s="23"/>
      <c r="N79" s="33"/>
      <c r="O79" s="21"/>
      <c r="P79" s="22">
        <v>0</v>
      </c>
      <c r="Q79" s="21">
        <f>81361.2+6124</f>
        <v>87485.2</v>
      </c>
      <c r="R79" s="22">
        <f t="shared" si="19"/>
        <v>87485.2</v>
      </c>
      <c r="S79" s="49" t="s">
        <v>311</v>
      </c>
      <c r="T79" s="21">
        <v>-10182.5</v>
      </c>
      <c r="U79" s="22">
        <f>R79+T79</f>
        <v>77302.7</v>
      </c>
      <c r="V79" s="49" t="s">
        <v>399</v>
      </c>
    </row>
    <row r="80" spans="1:22" ht="71.25" customHeight="1" collapsed="1" x14ac:dyDescent="0.2">
      <c r="A80" s="9"/>
      <c r="B80" s="26"/>
      <c r="C80" s="84" t="s">
        <v>114</v>
      </c>
      <c r="D80" s="84"/>
      <c r="E80" s="84"/>
      <c r="F80" s="84"/>
      <c r="G80" s="84"/>
      <c r="H80" s="10" t="s">
        <v>29</v>
      </c>
      <c r="I80" s="10" t="s">
        <v>15</v>
      </c>
      <c r="J80" s="10" t="s">
        <v>3</v>
      </c>
      <c r="K80" s="19">
        <f>K81+K82</f>
        <v>59276.5</v>
      </c>
      <c r="L80" s="19">
        <f>L81+L82</f>
        <v>174312.5</v>
      </c>
      <c r="M80" s="19">
        <f>M81+M82</f>
        <v>233589</v>
      </c>
      <c r="N80" s="35" t="s">
        <v>293</v>
      </c>
      <c r="O80" s="21">
        <f>O81+O82</f>
        <v>1930</v>
      </c>
      <c r="P80" s="21">
        <f>P81+P82</f>
        <v>235519</v>
      </c>
      <c r="Q80" s="21">
        <f>Q81+Q82</f>
        <v>2025.9000000000087</v>
      </c>
      <c r="R80" s="21">
        <f>R81+R82</f>
        <v>237544.90000000002</v>
      </c>
      <c r="S80" s="49" t="s">
        <v>312</v>
      </c>
      <c r="T80" s="21">
        <f>T81+T82</f>
        <v>10550.7</v>
      </c>
      <c r="U80" s="21">
        <f>U81+U82</f>
        <v>248095.60000000003</v>
      </c>
      <c r="V80" s="49" t="s">
        <v>442</v>
      </c>
    </row>
    <row r="81" spans="1:22" ht="71.25" hidden="1" customHeight="1" outlineLevel="1" x14ac:dyDescent="0.2">
      <c r="A81" s="9"/>
      <c r="B81" s="27"/>
      <c r="C81" s="60"/>
      <c r="D81" s="84" t="s">
        <v>116</v>
      </c>
      <c r="E81" s="84"/>
      <c r="F81" s="84"/>
      <c r="G81" s="84"/>
      <c r="H81" s="10" t="s">
        <v>29</v>
      </c>
      <c r="I81" s="10" t="s">
        <v>15</v>
      </c>
      <c r="J81" s="10" t="s">
        <v>8</v>
      </c>
      <c r="K81" s="19">
        <v>59276.5</v>
      </c>
      <c r="L81" s="21">
        <v>89267.5</v>
      </c>
      <c r="M81" s="22">
        <f>K81+L81</f>
        <v>148544</v>
      </c>
      <c r="N81" s="35" t="s">
        <v>294</v>
      </c>
      <c r="O81" s="21">
        <f>1930</f>
        <v>1930</v>
      </c>
      <c r="P81" s="22">
        <f>M81+O81</f>
        <v>150474</v>
      </c>
      <c r="Q81" s="21">
        <f>83245.3+6265.8-81361.2-6124</f>
        <v>2025.9000000000087</v>
      </c>
      <c r="R81" s="22">
        <f t="shared" si="19"/>
        <v>152499.90000000002</v>
      </c>
      <c r="S81" s="49" t="s">
        <v>312</v>
      </c>
      <c r="T81" s="21">
        <v>10550.7</v>
      </c>
      <c r="U81" s="22">
        <f>R81+T81</f>
        <v>163050.60000000003</v>
      </c>
      <c r="V81" s="49" t="s">
        <v>442</v>
      </c>
    </row>
    <row r="82" spans="1:22" ht="46.5" hidden="1" customHeight="1" outlineLevel="1" x14ac:dyDescent="0.2">
      <c r="A82" s="9"/>
      <c r="B82" s="27"/>
      <c r="C82" s="61"/>
      <c r="D82" s="62"/>
      <c r="E82" s="62"/>
      <c r="F82" s="62"/>
      <c r="G82" s="62" t="s">
        <v>216</v>
      </c>
      <c r="H82" s="10">
        <v>11</v>
      </c>
      <c r="I82" s="10">
        <v>3</v>
      </c>
      <c r="J82" s="25" t="s">
        <v>221</v>
      </c>
      <c r="K82" s="19">
        <v>0</v>
      </c>
      <c r="L82" s="19">
        <f>5954+12919.5+66171.5</f>
        <v>85045</v>
      </c>
      <c r="M82" s="22">
        <f>K82+L82</f>
        <v>85045</v>
      </c>
      <c r="N82" s="35" t="s">
        <v>222</v>
      </c>
      <c r="O82" s="21"/>
      <c r="P82" s="22">
        <f>M82+O82</f>
        <v>85045</v>
      </c>
      <c r="Q82" s="21"/>
      <c r="R82" s="22">
        <f t="shared" si="19"/>
        <v>85045</v>
      </c>
      <c r="S82" s="44"/>
      <c r="T82" s="21"/>
      <c r="U82" s="22">
        <f>R82+T82</f>
        <v>85045</v>
      </c>
      <c r="V82" s="44"/>
    </row>
    <row r="83" spans="1:22" s="8" customFormat="1" ht="33.75" customHeight="1" collapsed="1" x14ac:dyDescent="0.2">
      <c r="A83" s="6"/>
      <c r="B83" s="72" t="s">
        <v>115</v>
      </c>
      <c r="C83" s="72"/>
      <c r="D83" s="72"/>
      <c r="E83" s="72"/>
      <c r="F83" s="72"/>
      <c r="G83" s="72"/>
      <c r="H83" s="11" t="s">
        <v>28</v>
      </c>
      <c r="I83" s="11" t="s">
        <v>3</v>
      </c>
      <c r="J83" s="11" t="s">
        <v>3</v>
      </c>
      <c r="K83" s="20">
        <f>K84+K85+K86</f>
        <v>48759.1</v>
      </c>
      <c r="L83" s="20">
        <f>L84+L85+L86</f>
        <v>0</v>
      </c>
      <c r="M83" s="20">
        <f>M84+M85+M86</f>
        <v>48759.1</v>
      </c>
      <c r="N83" s="34"/>
      <c r="O83" s="31">
        <f>O84+O85+O86</f>
        <v>-2836</v>
      </c>
      <c r="P83" s="31">
        <f>P84+P85+P86</f>
        <v>45923.1</v>
      </c>
      <c r="Q83" s="31">
        <f>Q84+Q85+Q86</f>
        <v>461.69999999999987</v>
      </c>
      <c r="R83" s="31">
        <f>R84+R85+R86</f>
        <v>46384.799999999996</v>
      </c>
      <c r="S83" s="49" t="s">
        <v>284</v>
      </c>
      <c r="T83" s="31">
        <f>T84+T85+T86</f>
        <v>3.0000000000000582E-2</v>
      </c>
      <c r="U83" s="31">
        <f>U84+U85+U86</f>
        <v>46384.829999999994</v>
      </c>
      <c r="V83" s="49"/>
    </row>
    <row r="84" spans="1:22" ht="57" hidden="1" customHeight="1" outlineLevel="1" x14ac:dyDescent="0.2">
      <c r="A84" s="9"/>
      <c r="B84" s="27"/>
      <c r="C84" s="60"/>
      <c r="D84" s="84" t="s">
        <v>117</v>
      </c>
      <c r="E84" s="84"/>
      <c r="F84" s="84"/>
      <c r="G84" s="84"/>
      <c r="H84" s="10" t="s">
        <v>28</v>
      </c>
      <c r="I84" s="10" t="s">
        <v>1</v>
      </c>
      <c r="J84" s="10" t="s">
        <v>8</v>
      </c>
      <c r="K84" s="19">
        <v>11315.5</v>
      </c>
      <c r="L84" s="21">
        <v>-363</v>
      </c>
      <c r="M84" s="22">
        <f>K84+L84</f>
        <v>10952.5</v>
      </c>
      <c r="N84" s="35" t="s">
        <v>245</v>
      </c>
      <c r="O84" s="21">
        <f>-5368.2+2520</f>
        <v>-2848.2</v>
      </c>
      <c r="P84" s="22">
        <f>M84+O84</f>
        <v>8104.3</v>
      </c>
      <c r="Q84" s="53">
        <f>-478-361.2-12.1</f>
        <v>-851.30000000000007</v>
      </c>
      <c r="R84" s="22">
        <f t="shared" si="19"/>
        <v>7253</v>
      </c>
      <c r="S84" s="49" t="s">
        <v>279</v>
      </c>
      <c r="T84" s="53">
        <v>-6.97</v>
      </c>
      <c r="U84" s="22">
        <f>R84+T84</f>
        <v>7246.03</v>
      </c>
      <c r="V84" s="49" t="s">
        <v>353</v>
      </c>
    </row>
    <row r="85" spans="1:22" ht="49.5" hidden="1" customHeight="1" outlineLevel="1" x14ac:dyDescent="0.2">
      <c r="A85" s="9"/>
      <c r="B85" s="27"/>
      <c r="C85" s="60"/>
      <c r="D85" s="84" t="s">
        <v>118</v>
      </c>
      <c r="E85" s="84"/>
      <c r="F85" s="84"/>
      <c r="G85" s="84"/>
      <c r="H85" s="10" t="s">
        <v>28</v>
      </c>
      <c r="I85" s="10" t="s">
        <v>1</v>
      </c>
      <c r="J85" s="10" t="s">
        <v>7</v>
      </c>
      <c r="K85" s="19">
        <v>36163.199999999997</v>
      </c>
      <c r="L85" s="21">
        <v>68</v>
      </c>
      <c r="M85" s="22">
        <f>K85+L85</f>
        <v>36231.199999999997</v>
      </c>
      <c r="N85" s="35" t="s">
        <v>244</v>
      </c>
      <c r="O85" s="21">
        <v>12.2</v>
      </c>
      <c r="P85" s="22">
        <f>M85+O85</f>
        <v>36243.399999999994</v>
      </c>
      <c r="Q85" s="21">
        <f>350.5+12.1+461.7</f>
        <v>824.3</v>
      </c>
      <c r="R85" s="22">
        <f t="shared" si="19"/>
        <v>37067.699999999997</v>
      </c>
      <c r="S85" s="46" t="s">
        <v>280</v>
      </c>
      <c r="T85" s="21">
        <v>7.4</v>
      </c>
      <c r="U85" s="22">
        <f>R85+T85</f>
        <v>37075.1</v>
      </c>
      <c r="V85" s="49" t="s">
        <v>351</v>
      </c>
    </row>
    <row r="86" spans="1:22" ht="52.5" hidden="1" customHeight="1" outlineLevel="1" x14ac:dyDescent="0.2">
      <c r="A86" s="9"/>
      <c r="B86" s="27"/>
      <c r="C86" s="60"/>
      <c r="D86" s="84" t="s">
        <v>119</v>
      </c>
      <c r="E86" s="84"/>
      <c r="F86" s="84"/>
      <c r="G86" s="84"/>
      <c r="H86" s="10" t="s">
        <v>28</v>
      </c>
      <c r="I86" s="10" t="s">
        <v>1</v>
      </c>
      <c r="J86" s="10" t="s">
        <v>11</v>
      </c>
      <c r="K86" s="19">
        <v>1280.4000000000001</v>
      </c>
      <c r="L86" s="21">
        <v>295</v>
      </c>
      <c r="M86" s="22">
        <f>K86+L86</f>
        <v>1575.4</v>
      </c>
      <c r="N86" s="35" t="s">
        <v>243</v>
      </c>
      <c r="O86" s="21"/>
      <c r="P86" s="22">
        <f>M86+O86</f>
        <v>1575.4</v>
      </c>
      <c r="Q86" s="21">
        <f>478+10.7</f>
        <v>488.7</v>
      </c>
      <c r="R86" s="22">
        <f t="shared" si="19"/>
        <v>2064.1</v>
      </c>
      <c r="S86" s="49" t="s">
        <v>256</v>
      </c>
      <c r="T86" s="21">
        <f>-0.4</f>
        <v>-0.4</v>
      </c>
      <c r="U86" s="22">
        <f>R86+T86</f>
        <v>2063.6999999999998</v>
      </c>
      <c r="V86" s="49" t="s">
        <v>352</v>
      </c>
    </row>
    <row r="87" spans="1:22" s="8" customFormat="1" ht="30" customHeight="1" collapsed="1" x14ac:dyDescent="0.2">
      <c r="A87" s="6"/>
      <c r="B87" s="72" t="s">
        <v>123</v>
      </c>
      <c r="C87" s="72"/>
      <c r="D87" s="72"/>
      <c r="E87" s="72"/>
      <c r="F87" s="72"/>
      <c r="G87" s="72"/>
      <c r="H87" s="11" t="s">
        <v>27</v>
      </c>
      <c r="I87" s="11" t="s">
        <v>3</v>
      </c>
      <c r="J87" s="11" t="s">
        <v>3</v>
      </c>
      <c r="K87" s="20">
        <f>K88+K92+K94</f>
        <v>359566.7</v>
      </c>
      <c r="L87" s="20">
        <f>L88+L92+L94</f>
        <v>-5804.4</v>
      </c>
      <c r="M87" s="20">
        <f>M88+M92+M94</f>
        <v>353762.3</v>
      </c>
      <c r="N87" s="34"/>
      <c r="O87" s="31">
        <f>O88+O92+O94</f>
        <v>85502.399999999994</v>
      </c>
      <c r="P87" s="31">
        <f>P88+P92+P94</f>
        <v>439264.7</v>
      </c>
      <c r="Q87" s="31">
        <f>Q88+Q92+Q94</f>
        <v>-28466.9</v>
      </c>
      <c r="R87" s="31">
        <f>R88+R92+R94</f>
        <v>410797.8</v>
      </c>
      <c r="S87" s="45"/>
      <c r="T87" s="31">
        <f>T88+T92+T94</f>
        <v>-11127</v>
      </c>
      <c r="U87" s="31">
        <f>U88+U92+U94</f>
        <v>399670.8</v>
      </c>
      <c r="V87" s="45"/>
    </row>
    <row r="88" spans="1:22" ht="203.25" customHeight="1" x14ac:dyDescent="0.2">
      <c r="A88" s="9"/>
      <c r="B88" s="26"/>
      <c r="C88" s="84" t="s">
        <v>122</v>
      </c>
      <c r="D88" s="84"/>
      <c r="E88" s="84"/>
      <c r="F88" s="84"/>
      <c r="G88" s="84"/>
      <c r="H88" s="10" t="s">
        <v>27</v>
      </c>
      <c r="I88" s="10" t="s">
        <v>13</v>
      </c>
      <c r="J88" s="10" t="s">
        <v>3</v>
      </c>
      <c r="K88" s="19">
        <f>K89+K90+K91</f>
        <v>157592.70000000001</v>
      </c>
      <c r="L88" s="19">
        <f>L89+L90+L91</f>
        <v>-7364.0999999999995</v>
      </c>
      <c r="M88" s="19">
        <f>M89+M90+M91</f>
        <v>150228.59999999998</v>
      </c>
      <c r="N88" s="35" t="s">
        <v>232</v>
      </c>
      <c r="O88" s="21">
        <f>O89+O90+O91</f>
        <v>46868.9</v>
      </c>
      <c r="P88" s="21">
        <f>P89+P90+P91</f>
        <v>197097.5</v>
      </c>
      <c r="Q88" s="21">
        <f>Q89+Q90+Q91</f>
        <v>4155.7999999999993</v>
      </c>
      <c r="R88" s="21">
        <f>R89+R90+R91</f>
        <v>201253.3</v>
      </c>
      <c r="S88" s="40" t="s">
        <v>323</v>
      </c>
      <c r="T88" s="21">
        <f>T89+T90+T91</f>
        <v>-37</v>
      </c>
      <c r="U88" s="21">
        <f>U89+U90+U91</f>
        <v>201216.3</v>
      </c>
      <c r="V88" s="40" t="s">
        <v>443</v>
      </c>
    </row>
    <row r="89" spans="1:22" ht="211.5" hidden="1" customHeight="1" outlineLevel="1" x14ac:dyDescent="0.2">
      <c r="A89" s="9"/>
      <c r="B89" s="27"/>
      <c r="C89" s="60"/>
      <c r="D89" s="84" t="s">
        <v>121</v>
      </c>
      <c r="E89" s="84"/>
      <c r="F89" s="84"/>
      <c r="G89" s="84"/>
      <c r="H89" s="10" t="s">
        <v>27</v>
      </c>
      <c r="I89" s="10" t="s">
        <v>13</v>
      </c>
      <c r="J89" s="10" t="s">
        <v>8</v>
      </c>
      <c r="K89" s="19">
        <v>128092.7</v>
      </c>
      <c r="L89" s="21">
        <f>-4601.4-1987.5-775.2</f>
        <v>-7364.0999999999995</v>
      </c>
      <c r="M89" s="22">
        <f>K89+L89</f>
        <v>120728.59999999999</v>
      </c>
      <c r="N89" s="35" t="s">
        <v>232</v>
      </c>
      <c r="O89" s="21">
        <f>275+5000-100+20886.4+20886.4-886.4+207.5+600</f>
        <v>46868.9</v>
      </c>
      <c r="P89" s="22">
        <f>M89+O89</f>
        <v>167597.5</v>
      </c>
      <c r="Q89" s="21">
        <f>7313.2-3157.4</f>
        <v>4155.7999999999993</v>
      </c>
      <c r="R89" s="22">
        <f t="shared" ref="R89:R95" si="21">P89+Q89</f>
        <v>171753.3</v>
      </c>
      <c r="S89" s="49" t="s">
        <v>400</v>
      </c>
      <c r="T89" s="21">
        <f>-1687+1650</f>
        <v>-37</v>
      </c>
      <c r="U89" s="22">
        <f>R89+T89</f>
        <v>171716.3</v>
      </c>
      <c r="V89" s="49" t="s">
        <v>429</v>
      </c>
    </row>
    <row r="90" spans="1:22" ht="45" hidden="1" customHeight="1" outlineLevel="1" x14ac:dyDescent="0.2">
      <c r="A90" s="9"/>
      <c r="B90" s="27"/>
      <c r="C90" s="60"/>
      <c r="D90" s="84" t="s">
        <v>120</v>
      </c>
      <c r="E90" s="84"/>
      <c r="F90" s="84"/>
      <c r="G90" s="84"/>
      <c r="H90" s="10" t="s">
        <v>27</v>
      </c>
      <c r="I90" s="10" t="s">
        <v>13</v>
      </c>
      <c r="J90" s="10" t="s">
        <v>7</v>
      </c>
      <c r="K90" s="19">
        <v>25000</v>
      </c>
      <c r="L90" s="21"/>
      <c r="M90" s="22">
        <f>K90+L90</f>
        <v>25000</v>
      </c>
      <c r="N90" s="33"/>
      <c r="O90" s="21">
        <v>-805.6</v>
      </c>
      <c r="P90" s="22">
        <f>M90+O90</f>
        <v>24194.400000000001</v>
      </c>
      <c r="Q90" s="21"/>
      <c r="R90" s="22">
        <f t="shared" si="21"/>
        <v>24194.400000000001</v>
      </c>
      <c r="S90" s="40"/>
      <c r="T90" s="21">
        <v>-208.1</v>
      </c>
      <c r="U90" s="22">
        <f>R90+T90</f>
        <v>23986.300000000003</v>
      </c>
      <c r="V90" s="40" t="s">
        <v>345</v>
      </c>
    </row>
    <row r="91" spans="1:22" ht="96.75" hidden="1" customHeight="1" outlineLevel="1" x14ac:dyDescent="0.2">
      <c r="A91" s="9"/>
      <c r="B91" s="27"/>
      <c r="C91" s="60"/>
      <c r="D91" s="84" t="s">
        <v>124</v>
      </c>
      <c r="E91" s="84"/>
      <c r="F91" s="84"/>
      <c r="G91" s="84"/>
      <c r="H91" s="10" t="s">
        <v>27</v>
      </c>
      <c r="I91" s="10" t="s">
        <v>13</v>
      </c>
      <c r="J91" s="10" t="s">
        <v>11</v>
      </c>
      <c r="K91" s="19">
        <v>4500</v>
      </c>
      <c r="L91" s="21"/>
      <c r="M91" s="22">
        <f>K91+L91</f>
        <v>4500</v>
      </c>
      <c r="N91" s="33"/>
      <c r="O91" s="21">
        <f>805.6</f>
        <v>805.6</v>
      </c>
      <c r="P91" s="22">
        <f>M91+O91</f>
        <v>5305.6</v>
      </c>
      <c r="Q91" s="21"/>
      <c r="R91" s="22">
        <f t="shared" si="21"/>
        <v>5305.6</v>
      </c>
      <c r="S91" s="40"/>
      <c r="T91" s="21">
        <v>208.1</v>
      </c>
      <c r="U91" s="22">
        <f>R91+T91</f>
        <v>5513.7000000000007</v>
      </c>
      <c r="V91" s="40" t="s">
        <v>344</v>
      </c>
    </row>
    <row r="92" spans="1:22" ht="159" customHeight="1" collapsed="1" x14ac:dyDescent="0.2">
      <c r="A92" s="9"/>
      <c r="B92" s="26"/>
      <c r="C92" s="84" t="s">
        <v>125</v>
      </c>
      <c r="D92" s="84"/>
      <c r="E92" s="84"/>
      <c r="F92" s="84"/>
      <c r="G92" s="84"/>
      <c r="H92" s="10" t="s">
        <v>27</v>
      </c>
      <c r="I92" s="10" t="s">
        <v>9</v>
      </c>
      <c r="J92" s="10" t="s">
        <v>3</v>
      </c>
      <c r="K92" s="19">
        <f>K93</f>
        <v>184000</v>
      </c>
      <c r="L92" s="19">
        <f t="shared" ref="L92:U92" si="22">L93</f>
        <v>1833.5</v>
      </c>
      <c r="M92" s="19">
        <f t="shared" si="22"/>
        <v>185833.5</v>
      </c>
      <c r="N92" s="35" t="s">
        <v>236</v>
      </c>
      <c r="O92" s="21">
        <f t="shared" si="22"/>
        <v>46600</v>
      </c>
      <c r="P92" s="21">
        <f t="shared" si="22"/>
        <v>232433.5</v>
      </c>
      <c r="Q92" s="21">
        <f t="shared" si="22"/>
        <v>-32615.7</v>
      </c>
      <c r="R92" s="21">
        <f t="shared" si="22"/>
        <v>199817.8</v>
      </c>
      <c r="S92" s="40" t="s">
        <v>324</v>
      </c>
      <c r="T92" s="21">
        <f t="shared" si="22"/>
        <v>-11090</v>
      </c>
      <c r="U92" s="21">
        <f t="shared" si="22"/>
        <v>188727.8</v>
      </c>
      <c r="V92" s="40" t="s">
        <v>430</v>
      </c>
    </row>
    <row r="93" spans="1:22" ht="157.5" hidden="1" customHeight="1" outlineLevel="1" x14ac:dyDescent="0.2">
      <c r="A93" s="9"/>
      <c r="B93" s="27"/>
      <c r="C93" s="60"/>
      <c r="D93" s="84" t="s">
        <v>252</v>
      </c>
      <c r="E93" s="84"/>
      <c r="F93" s="84"/>
      <c r="G93" s="84"/>
      <c r="H93" s="10" t="s">
        <v>27</v>
      </c>
      <c r="I93" s="10" t="s">
        <v>9</v>
      </c>
      <c r="J93" s="10" t="s">
        <v>8</v>
      </c>
      <c r="K93" s="19">
        <v>184000</v>
      </c>
      <c r="L93" s="21">
        <f>-1955.5+1801.5+1987.5</f>
        <v>1833.5</v>
      </c>
      <c r="M93" s="22">
        <f>K93+L93</f>
        <v>185833.5</v>
      </c>
      <c r="N93" s="35" t="s">
        <v>233</v>
      </c>
      <c r="O93" s="21">
        <f>600+46000</f>
        <v>46600</v>
      </c>
      <c r="P93" s="22">
        <f>M93+O93</f>
        <v>232433.5</v>
      </c>
      <c r="Q93" s="21">
        <f>-17615.7-15000</f>
        <v>-32615.7</v>
      </c>
      <c r="R93" s="22">
        <f t="shared" si="21"/>
        <v>199817.8</v>
      </c>
      <c r="S93" s="40" t="s">
        <v>315</v>
      </c>
      <c r="T93" s="21">
        <f>-10546.9-543.1</f>
        <v>-11090</v>
      </c>
      <c r="U93" s="22">
        <f>R93+T93</f>
        <v>188727.8</v>
      </c>
      <c r="V93" s="40" t="s">
        <v>430</v>
      </c>
    </row>
    <row r="94" spans="1:22" ht="34.5" customHeight="1" collapsed="1" x14ac:dyDescent="0.2">
      <c r="A94" s="9"/>
      <c r="B94" s="26"/>
      <c r="C94" s="84" t="s">
        <v>129</v>
      </c>
      <c r="D94" s="84"/>
      <c r="E94" s="84"/>
      <c r="F94" s="84"/>
      <c r="G94" s="84"/>
      <c r="H94" s="10" t="s">
        <v>27</v>
      </c>
      <c r="I94" s="10" t="s">
        <v>15</v>
      </c>
      <c r="J94" s="10" t="s">
        <v>3</v>
      </c>
      <c r="K94" s="19">
        <f>K95</f>
        <v>17974</v>
      </c>
      <c r="L94" s="19">
        <f t="shared" ref="L94:U94" si="23">L95</f>
        <v>-273.8</v>
      </c>
      <c r="M94" s="19">
        <f t="shared" si="23"/>
        <v>17700.2</v>
      </c>
      <c r="N94" s="35" t="s">
        <v>235</v>
      </c>
      <c r="O94" s="21">
        <f t="shared" si="23"/>
        <v>-7966.5</v>
      </c>
      <c r="P94" s="21">
        <f t="shared" si="23"/>
        <v>9733.7000000000007</v>
      </c>
      <c r="Q94" s="21">
        <f t="shared" si="23"/>
        <v>-7</v>
      </c>
      <c r="R94" s="21">
        <f t="shared" si="23"/>
        <v>9726.7000000000007</v>
      </c>
      <c r="S94" s="40" t="s">
        <v>281</v>
      </c>
      <c r="T94" s="21">
        <f t="shared" si="23"/>
        <v>0</v>
      </c>
      <c r="U94" s="21">
        <f t="shared" si="23"/>
        <v>9726.7000000000007</v>
      </c>
      <c r="V94" s="40"/>
    </row>
    <row r="95" spans="1:22" ht="46.5" hidden="1" customHeight="1" outlineLevel="1" x14ac:dyDescent="0.2">
      <c r="A95" s="9"/>
      <c r="B95" s="27"/>
      <c r="C95" s="60"/>
      <c r="D95" s="84" t="s">
        <v>130</v>
      </c>
      <c r="E95" s="84"/>
      <c r="F95" s="84"/>
      <c r="G95" s="84"/>
      <c r="H95" s="10" t="s">
        <v>27</v>
      </c>
      <c r="I95" s="10" t="s">
        <v>15</v>
      </c>
      <c r="J95" s="10" t="s">
        <v>8</v>
      </c>
      <c r="K95" s="19">
        <v>17974</v>
      </c>
      <c r="L95" s="21">
        <f>-49-224.8</f>
        <v>-273.8</v>
      </c>
      <c r="M95" s="22">
        <f>K95+L95</f>
        <v>17700.2</v>
      </c>
      <c r="N95" s="35" t="s">
        <v>234</v>
      </c>
      <c r="O95" s="21">
        <f>-275-223-63.5-115.1-5189.9-2100</f>
        <v>-7966.5</v>
      </c>
      <c r="P95" s="22">
        <f>M95+O95</f>
        <v>9733.7000000000007</v>
      </c>
      <c r="Q95" s="21">
        <v>-7</v>
      </c>
      <c r="R95" s="22">
        <f t="shared" si="21"/>
        <v>9726.7000000000007</v>
      </c>
      <c r="S95" s="40" t="s">
        <v>266</v>
      </c>
      <c r="T95" s="21"/>
      <c r="U95" s="22">
        <f>R95+T95</f>
        <v>9726.7000000000007</v>
      </c>
      <c r="V95" s="40"/>
    </row>
    <row r="96" spans="1:22" s="8" customFormat="1" ht="30" customHeight="1" collapsed="1" x14ac:dyDescent="0.2">
      <c r="A96" s="6"/>
      <c r="B96" s="72" t="s">
        <v>126</v>
      </c>
      <c r="C96" s="72"/>
      <c r="D96" s="72"/>
      <c r="E96" s="72"/>
      <c r="F96" s="72"/>
      <c r="G96" s="72"/>
      <c r="H96" s="11" t="s">
        <v>26</v>
      </c>
      <c r="I96" s="11" t="s">
        <v>3</v>
      </c>
      <c r="J96" s="11" t="s">
        <v>3</v>
      </c>
      <c r="K96" s="20">
        <f>K97+K101+K105+K107</f>
        <v>285616.59999999998</v>
      </c>
      <c r="L96" s="20">
        <f>L97+L101+L105+L107</f>
        <v>78589.100000000006</v>
      </c>
      <c r="M96" s="20">
        <f>M97+M101+M105+M107</f>
        <v>364205.69999999995</v>
      </c>
      <c r="N96" s="34"/>
      <c r="O96" s="31">
        <f>O97+O101+O105+O107</f>
        <v>-3590.6999999999994</v>
      </c>
      <c r="P96" s="31">
        <f>P97+P101+P105+P107</f>
        <v>360615</v>
      </c>
      <c r="Q96" s="31">
        <f>Q97+Q101+Q105+Q107</f>
        <v>27240.100000000002</v>
      </c>
      <c r="R96" s="31">
        <f>R97+R101+R105+R107</f>
        <v>387855.10000000003</v>
      </c>
      <c r="S96" s="45"/>
      <c r="T96" s="31">
        <f>T97+T101+T105+T107</f>
        <v>218855.7</v>
      </c>
      <c r="U96" s="31">
        <f>U97+U101+U105+U107</f>
        <v>606710.79999999993</v>
      </c>
      <c r="V96" s="45"/>
    </row>
    <row r="97" spans="1:22" ht="290.25" customHeight="1" x14ac:dyDescent="0.2">
      <c r="A97" s="9"/>
      <c r="B97" s="26"/>
      <c r="C97" s="84" t="s">
        <v>128</v>
      </c>
      <c r="D97" s="84"/>
      <c r="E97" s="84"/>
      <c r="F97" s="84"/>
      <c r="G97" s="84"/>
      <c r="H97" s="10" t="s">
        <v>26</v>
      </c>
      <c r="I97" s="10" t="s">
        <v>13</v>
      </c>
      <c r="J97" s="10" t="s">
        <v>3</v>
      </c>
      <c r="K97" s="19">
        <f>K98+K99+K100</f>
        <v>114614.39999999999</v>
      </c>
      <c r="L97" s="19">
        <f>L98+L99+L100</f>
        <v>1283</v>
      </c>
      <c r="M97" s="19">
        <f>M98+M99+M100</f>
        <v>115897.4</v>
      </c>
      <c r="N97" s="35" t="s">
        <v>295</v>
      </c>
      <c r="O97" s="21">
        <f>O98+O99+O100</f>
        <v>-4607.0999999999995</v>
      </c>
      <c r="P97" s="21">
        <f>P98+P99+P100</f>
        <v>111290.29999999999</v>
      </c>
      <c r="Q97" s="21">
        <f>Q98+Q99+Q100</f>
        <v>27182.7</v>
      </c>
      <c r="R97" s="21">
        <f>R98+R99+R100</f>
        <v>138473</v>
      </c>
      <c r="S97" s="40" t="s">
        <v>325</v>
      </c>
      <c r="T97" s="21">
        <f>T98+T99+T100</f>
        <v>2836.9999999999995</v>
      </c>
      <c r="U97" s="21">
        <f>U98+U99+U100</f>
        <v>141310</v>
      </c>
      <c r="V97" s="40" t="s">
        <v>444</v>
      </c>
    </row>
    <row r="98" spans="1:22" ht="29.25" hidden="1" customHeight="1" outlineLevel="1" x14ac:dyDescent="0.2">
      <c r="A98" s="9"/>
      <c r="B98" s="27"/>
      <c r="C98" s="60"/>
      <c r="D98" s="84" t="s">
        <v>127</v>
      </c>
      <c r="E98" s="84"/>
      <c r="F98" s="84"/>
      <c r="G98" s="84"/>
      <c r="H98" s="10" t="s">
        <v>26</v>
      </c>
      <c r="I98" s="10" t="s">
        <v>13</v>
      </c>
      <c r="J98" s="10" t="s">
        <v>8</v>
      </c>
      <c r="K98" s="19">
        <v>2189</v>
      </c>
      <c r="L98" s="21"/>
      <c r="M98" s="22">
        <f>K98+L98</f>
        <v>2189</v>
      </c>
      <c r="N98" s="33"/>
      <c r="O98" s="21"/>
      <c r="P98" s="22">
        <f>M98+O98</f>
        <v>2189</v>
      </c>
      <c r="Q98" s="21"/>
      <c r="R98" s="22">
        <f t="shared" ref="R98:R113" si="24">P98+Q98</f>
        <v>2189</v>
      </c>
      <c r="S98" s="44"/>
      <c r="T98" s="21">
        <v>600</v>
      </c>
      <c r="U98" s="22">
        <f>R98+T98</f>
        <v>2789</v>
      </c>
      <c r="V98" s="40" t="s">
        <v>401</v>
      </c>
    </row>
    <row r="99" spans="1:22" ht="238.5" hidden="1" customHeight="1" outlineLevel="1" x14ac:dyDescent="0.2">
      <c r="A99" s="9"/>
      <c r="B99" s="27"/>
      <c r="C99" s="60"/>
      <c r="D99" s="84" t="s">
        <v>131</v>
      </c>
      <c r="E99" s="84"/>
      <c r="F99" s="84"/>
      <c r="G99" s="84"/>
      <c r="H99" s="10" t="s">
        <v>26</v>
      </c>
      <c r="I99" s="10" t="s">
        <v>13</v>
      </c>
      <c r="J99" s="10" t="s">
        <v>7</v>
      </c>
      <c r="K99" s="19">
        <v>87366.2</v>
      </c>
      <c r="L99" s="21">
        <f>833+350+1300</f>
        <v>2483</v>
      </c>
      <c r="M99" s="22">
        <f>K99+L99</f>
        <v>89849.2</v>
      </c>
      <c r="N99" s="35" t="s">
        <v>296</v>
      </c>
      <c r="O99" s="21">
        <f>-1151.7-2086.3+1100-4218.2+600+549.1+600</f>
        <v>-4607.0999999999995</v>
      </c>
      <c r="P99" s="22">
        <f>M99+O99+600</f>
        <v>85842.099999999991</v>
      </c>
      <c r="Q99" s="21">
        <f>8763.8+446.1+15000+815.5-27</f>
        <v>24998.400000000001</v>
      </c>
      <c r="R99" s="22">
        <f t="shared" si="24"/>
        <v>110840.5</v>
      </c>
      <c r="S99" s="40" t="s">
        <v>333</v>
      </c>
      <c r="T99" s="21">
        <f>-368.3+556+3000-42.3-203.1-586.4</f>
        <v>2355.8999999999996</v>
      </c>
      <c r="U99" s="22">
        <f>R99+T99</f>
        <v>113196.4</v>
      </c>
      <c r="V99" s="40" t="s">
        <v>402</v>
      </c>
    </row>
    <row r="100" spans="1:22" ht="68.25" hidden="1" customHeight="1" outlineLevel="1" x14ac:dyDescent="0.2">
      <c r="A100" s="9"/>
      <c r="B100" s="27"/>
      <c r="C100" s="60"/>
      <c r="D100" s="84" t="s">
        <v>133</v>
      </c>
      <c r="E100" s="84"/>
      <c r="F100" s="84"/>
      <c r="G100" s="84"/>
      <c r="H100" s="10" t="s">
        <v>26</v>
      </c>
      <c r="I100" s="10" t="s">
        <v>13</v>
      </c>
      <c r="J100" s="10" t="s">
        <v>11</v>
      </c>
      <c r="K100" s="19">
        <v>25059.200000000001</v>
      </c>
      <c r="L100" s="21">
        <v>-1200</v>
      </c>
      <c r="M100" s="22">
        <f>K100+L100</f>
        <v>23859.200000000001</v>
      </c>
      <c r="N100" s="35" t="s">
        <v>217</v>
      </c>
      <c r="O100" s="21"/>
      <c r="P100" s="22">
        <f>M100+O100-600</f>
        <v>23259.200000000001</v>
      </c>
      <c r="Q100" s="21">
        <f>-527+2711.3</f>
        <v>2184.3000000000002</v>
      </c>
      <c r="R100" s="22">
        <f t="shared" si="24"/>
        <v>25443.5</v>
      </c>
      <c r="S100" s="40" t="s">
        <v>316</v>
      </c>
      <c r="T100" s="21">
        <v>-118.9</v>
      </c>
      <c r="U100" s="22">
        <f>R100+T100</f>
        <v>25324.6</v>
      </c>
      <c r="V100" s="40" t="s">
        <v>431</v>
      </c>
    </row>
    <row r="101" spans="1:22" ht="292.5" customHeight="1" collapsed="1" x14ac:dyDescent="0.2">
      <c r="A101" s="9"/>
      <c r="B101" s="26"/>
      <c r="C101" s="84" t="s">
        <v>132</v>
      </c>
      <c r="D101" s="84"/>
      <c r="E101" s="84"/>
      <c r="F101" s="84"/>
      <c r="G101" s="84"/>
      <c r="H101" s="10" t="s">
        <v>26</v>
      </c>
      <c r="I101" s="10" t="s">
        <v>9</v>
      </c>
      <c r="J101" s="10" t="s">
        <v>3</v>
      </c>
      <c r="K101" s="19">
        <f>K102+K103</f>
        <v>167652.19999999998</v>
      </c>
      <c r="L101" s="19">
        <f>L102+L103+L104</f>
        <v>77306.100000000006</v>
      </c>
      <c r="M101" s="19">
        <f>M102+M103+M104</f>
        <v>244958.3</v>
      </c>
      <c r="N101" s="35" t="s">
        <v>224</v>
      </c>
      <c r="O101" s="21">
        <f>O102+O103+O104</f>
        <v>1016.4</v>
      </c>
      <c r="P101" s="21">
        <f>P102+P103+P104</f>
        <v>245974.7</v>
      </c>
      <c r="Q101" s="21">
        <f>Q102+Q103+Q104</f>
        <v>0</v>
      </c>
      <c r="R101" s="21">
        <f>R102+R103+R104</f>
        <v>245974.7</v>
      </c>
      <c r="S101" s="40"/>
      <c r="T101" s="21">
        <f>T102+T103+T104</f>
        <v>215994.1</v>
      </c>
      <c r="U101" s="21">
        <f>U102+U103+U104</f>
        <v>461968.79999999993</v>
      </c>
      <c r="V101" s="40" t="s">
        <v>445</v>
      </c>
    </row>
    <row r="102" spans="1:22" ht="182.25" hidden="1" customHeight="1" outlineLevel="1" x14ac:dyDescent="0.2">
      <c r="A102" s="9"/>
      <c r="B102" s="27"/>
      <c r="C102" s="60"/>
      <c r="D102" s="84" t="s">
        <v>136</v>
      </c>
      <c r="E102" s="84"/>
      <c r="F102" s="84"/>
      <c r="G102" s="84"/>
      <c r="H102" s="10" t="s">
        <v>26</v>
      </c>
      <c r="I102" s="10" t="s">
        <v>9</v>
      </c>
      <c r="J102" s="10" t="s">
        <v>8</v>
      </c>
      <c r="K102" s="19">
        <v>163172.4</v>
      </c>
      <c r="L102" s="21">
        <v>0.5</v>
      </c>
      <c r="M102" s="22">
        <f>K102+L102</f>
        <v>163172.9</v>
      </c>
      <c r="N102" s="35" t="s">
        <v>218</v>
      </c>
      <c r="O102" s="21">
        <f>-13.5+140+1200</f>
        <v>1326.5</v>
      </c>
      <c r="P102" s="22">
        <f>M102+O102</f>
        <v>164499.4</v>
      </c>
      <c r="Q102" s="21"/>
      <c r="R102" s="22">
        <f t="shared" si="24"/>
        <v>164499.4</v>
      </c>
      <c r="S102" s="40"/>
      <c r="T102" s="21">
        <f>-1.4-504-710.8-20901.5</f>
        <v>-22117.7</v>
      </c>
      <c r="U102" s="22">
        <f>R102+T102</f>
        <v>142381.69999999998</v>
      </c>
      <c r="V102" s="40" t="s">
        <v>433</v>
      </c>
    </row>
    <row r="103" spans="1:22" ht="66.75" hidden="1" customHeight="1" outlineLevel="1" x14ac:dyDescent="0.2">
      <c r="A103" s="9"/>
      <c r="B103" s="27"/>
      <c r="C103" s="60"/>
      <c r="D103" s="84" t="s">
        <v>135</v>
      </c>
      <c r="E103" s="84"/>
      <c r="F103" s="84"/>
      <c r="G103" s="84"/>
      <c r="H103" s="10" t="s">
        <v>26</v>
      </c>
      <c r="I103" s="10" t="s">
        <v>9</v>
      </c>
      <c r="J103" s="10" t="s">
        <v>7</v>
      </c>
      <c r="K103" s="19">
        <v>4479.8</v>
      </c>
      <c r="L103" s="21"/>
      <c r="M103" s="22">
        <f>K103+L103</f>
        <v>4479.8</v>
      </c>
      <c r="N103" s="33"/>
      <c r="O103" s="21">
        <v>-310.10000000000002</v>
      </c>
      <c r="P103" s="22">
        <f>M103+O103</f>
        <v>4169.7</v>
      </c>
      <c r="Q103" s="21"/>
      <c r="R103" s="22">
        <f t="shared" si="24"/>
        <v>4169.7</v>
      </c>
      <c r="S103" s="46"/>
      <c r="T103" s="21">
        <v>-771.7</v>
      </c>
      <c r="U103" s="22">
        <f>R103+T103</f>
        <v>3398</v>
      </c>
      <c r="V103" s="46" t="s">
        <v>432</v>
      </c>
    </row>
    <row r="104" spans="1:22" ht="123.75" hidden="1" outlineLevel="1" x14ac:dyDescent="0.2">
      <c r="A104" s="9"/>
      <c r="B104" s="26"/>
      <c r="C104" s="60"/>
      <c r="D104" s="59"/>
      <c r="E104" s="59"/>
      <c r="F104" s="59"/>
      <c r="G104" s="59" t="s">
        <v>215</v>
      </c>
      <c r="H104" s="10" t="s">
        <v>26</v>
      </c>
      <c r="I104" s="10" t="s">
        <v>9</v>
      </c>
      <c r="J104" s="25" t="s">
        <v>11</v>
      </c>
      <c r="K104" s="19">
        <v>0</v>
      </c>
      <c r="L104" s="19">
        <v>77305.600000000006</v>
      </c>
      <c r="M104" s="23">
        <f>K104+L104</f>
        <v>77305.600000000006</v>
      </c>
      <c r="N104" s="35" t="s">
        <v>297</v>
      </c>
      <c r="O104" s="21"/>
      <c r="P104" s="22">
        <f>M104+O104</f>
        <v>77305.600000000006</v>
      </c>
      <c r="Q104" s="21"/>
      <c r="R104" s="22">
        <f t="shared" si="24"/>
        <v>77305.600000000006</v>
      </c>
      <c r="S104" s="44"/>
      <c r="T104" s="21">
        <f>119441.8+119441.7</f>
        <v>238883.5</v>
      </c>
      <c r="U104" s="22">
        <f>R104+T104</f>
        <v>316189.09999999998</v>
      </c>
      <c r="V104" s="40" t="s">
        <v>364</v>
      </c>
    </row>
    <row r="105" spans="1:22" ht="24.75" customHeight="1" collapsed="1" x14ac:dyDescent="0.2">
      <c r="A105" s="9"/>
      <c r="B105" s="26"/>
      <c r="C105" s="84" t="s">
        <v>134</v>
      </c>
      <c r="D105" s="84"/>
      <c r="E105" s="84"/>
      <c r="F105" s="84"/>
      <c r="G105" s="84"/>
      <c r="H105" s="10" t="s">
        <v>26</v>
      </c>
      <c r="I105" s="10" t="s">
        <v>15</v>
      </c>
      <c r="J105" s="10" t="s">
        <v>3</v>
      </c>
      <c r="K105" s="19">
        <f>K106</f>
        <v>250</v>
      </c>
      <c r="L105" s="19">
        <f t="shared" ref="L105:U105" si="25">L106</f>
        <v>0</v>
      </c>
      <c r="M105" s="19">
        <f t="shared" si="25"/>
        <v>250</v>
      </c>
      <c r="N105" s="33"/>
      <c r="O105" s="21">
        <f t="shared" si="25"/>
        <v>0</v>
      </c>
      <c r="P105" s="21">
        <f t="shared" si="25"/>
        <v>250</v>
      </c>
      <c r="Q105" s="21">
        <f t="shared" si="25"/>
        <v>-93.8</v>
      </c>
      <c r="R105" s="21">
        <f t="shared" si="25"/>
        <v>156.19999999999999</v>
      </c>
      <c r="S105" s="46" t="s">
        <v>319</v>
      </c>
      <c r="T105" s="21">
        <f t="shared" si="25"/>
        <v>24.6</v>
      </c>
      <c r="U105" s="21">
        <f t="shared" si="25"/>
        <v>180.79999999999998</v>
      </c>
      <c r="V105" s="46" t="s">
        <v>365</v>
      </c>
    </row>
    <row r="106" spans="1:22" ht="30.75" hidden="1" customHeight="1" outlineLevel="1" x14ac:dyDescent="0.2">
      <c r="A106" s="9"/>
      <c r="B106" s="27"/>
      <c r="C106" s="60"/>
      <c r="D106" s="84" t="s">
        <v>138</v>
      </c>
      <c r="E106" s="84"/>
      <c r="F106" s="84"/>
      <c r="G106" s="84"/>
      <c r="H106" s="10" t="s">
        <v>26</v>
      </c>
      <c r="I106" s="10" t="s">
        <v>15</v>
      </c>
      <c r="J106" s="10" t="s">
        <v>8</v>
      </c>
      <c r="K106" s="19">
        <v>250</v>
      </c>
      <c r="L106" s="21"/>
      <c r="M106" s="22">
        <f>K106+L106</f>
        <v>250</v>
      </c>
      <c r="N106" s="33"/>
      <c r="O106" s="21"/>
      <c r="P106" s="22">
        <f>M106+O106</f>
        <v>250</v>
      </c>
      <c r="Q106" s="21">
        <f>-100+6.2</f>
        <v>-93.8</v>
      </c>
      <c r="R106" s="22">
        <f t="shared" si="24"/>
        <v>156.19999999999999</v>
      </c>
      <c r="S106" s="46" t="s">
        <v>320</v>
      </c>
      <c r="T106" s="21">
        <v>24.6</v>
      </c>
      <c r="U106" s="22">
        <f>R106+T106</f>
        <v>180.79999999999998</v>
      </c>
      <c r="V106" s="46" t="s">
        <v>365</v>
      </c>
    </row>
    <row r="107" spans="1:22" ht="36.75" customHeight="1" collapsed="1" x14ac:dyDescent="0.2">
      <c r="A107" s="9"/>
      <c r="B107" s="26"/>
      <c r="C107" s="84" t="s">
        <v>137</v>
      </c>
      <c r="D107" s="84"/>
      <c r="E107" s="84"/>
      <c r="F107" s="84"/>
      <c r="G107" s="84"/>
      <c r="H107" s="10" t="s">
        <v>26</v>
      </c>
      <c r="I107" s="10" t="s">
        <v>25</v>
      </c>
      <c r="J107" s="10" t="s">
        <v>3</v>
      </c>
      <c r="K107" s="19">
        <f>K108</f>
        <v>3100</v>
      </c>
      <c r="L107" s="19">
        <f t="shared" ref="L107:U107" si="26">L108</f>
        <v>0</v>
      </c>
      <c r="M107" s="19">
        <f t="shared" si="26"/>
        <v>3100</v>
      </c>
      <c r="N107" s="33"/>
      <c r="O107" s="21">
        <f t="shared" si="26"/>
        <v>0</v>
      </c>
      <c r="P107" s="21">
        <f t="shared" si="26"/>
        <v>3100</v>
      </c>
      <c r="Q107" s="21">
        <f t="shared" si="26"/>
        <v>151.19999999999999</v>
      </c>
      <c r="R107" s="21">
        <f t="shared" si="26"/>
        <v>3251.2</v>
      </c>
      <c r="S107" s="46" t="s">
        <v>321</v>
      </c>
      <c r="T107" s="21">
        <f t="shared" si="26"/>
        <v>0</v>
      </c>
      <c r="U107" s="21">
        <f t="shared" si="26"/>
        <v>3251.2</v>
      </c>
      <c r="V107" s="46"/>
    </row>
    <row r="108" spans="1:22" ht="21.75" hidden="1" customHeight="1" outlineLevel="1" x14ac:dyDescent="0.2">
      <c r="A108" s="9"/>
      <c r="B108" s="27"/>
      <c r="C108" s="60"/>
      <c r="D108" s="84" t="s">
        <v>139</v>
      </c>
      <c r="E108" s="84"/>
      <c r="F108" s="84"/>
      <c r="G108" s="84"/>
      <c r="H108" s="10" t="s">
        <v>26</v>
      </c>
      <c r="I108" s="10" t="s">
        <v>25</v>
      </c>
      <c r="J108" s="10" t="s">
        <v>8</v>
      </c>
      <c r="K108" s="19">
        <v>3100</v>
      </c>
      <c r="L108" s="21"/>
      <c r="M108" s="22">
        <f>K108+L108</f>
        <v>3100</v>
      </c>
      <c r="N108" s="33"/>
      <c r="O108" s="21"/>
      <c r="P108" s="22">
        <f>M108+O108</f>
        <v>3100</v>
      </c>
      <c r="Q108" s="21">
        <v>151.19999999999999</v>
      </c>
      <c r="R108" s="22">
        <f t="shared" si="24"/>
        <v>3251.2</v>
      </c>
      <c r="S108" s="46" t="s">
        <v>321</v>
      </c>
      <c r="T108" s="21"/>
      <c r="U108" s="22">
        <f>R108+T108</f>
        <v>3251.2</v>
      </c>
      <c r="V108" s="46"/>
    </row>
    <row r="109" spans="1:22" s="8" customFormat="1" ht="42.75" customHeight="1" collapsed="1" x14ac:dyDescent="0.2">
      <c r="A109" s="6"/>
      <c r="B109" s="72" t="s">
        <v>140</v>
      </c>
      <c r="C109" s="72"/>
      <c r="D109" s="72"/>
      <c r="E109" s="72"/>
      <c r="F109" s="72"/>
      <c r="G109" s="72"/>
      <c r="H109" s="11" t="s">
        <v>24</v>
      </c>
      <c r="I109" s="11" t="s">
        <v>3</v>
      </c>
      <c r="J109" s="11" t="s">
        <v>3</v>
      </c>
      <c r="K109" s="20">
        <f>K110</f>
        <v>5594</v>
      </c>
      <c r="L109" s="20">
        <f t="shared" ref="L109:U109" si="27">L110</f>
        <v>0</v>
      </c>
      <c r="M109" s="20">
        <f t="shared" si="27"/>
        <v>5594</v>
      </c>
      <c r="N109" s="34"/>
      <c r="O109" s="31">
        <f t="shared" si="27"/>
        <v>0</v>
      </c>
      <c r="P109" s="31">
        <f t="shared" si="27"/>
        <v>5594</v>
      </c>
      <c r="Q109" s="31">
        <f t="shared" si="27"/>
        <v>-1698.6</v>
      </c>
      <c r="R109" s="31">
        <f t="shared" si="27"/>
        <v>3895.4</v>
      </c>
      <c r="S109" s="46" t="s">
        <v>282</v>
      </c>
      <c r="T109" s="31">
        <f t="shared" si="27"/>
        <v>-127.8</v>
      </c>
      <c r="U109" s="31">
        <f t="shared" si="27"/>
        <v>3767.6</v>
      </c>
      <c r="V109" s="49" t="s">
        <v>336</v>
      </c>
    </row>
    <row r="110" spans="1:22" ht="27.75" hidden="1" customHeight="1" outlineLevel="1" x14ac:dyDescent="0.2">
      <c r="A110" s="9"/>
      <c r="B110" s="27"/>
      <c r="C110" s="60"/>
      <c r="D110" s="84" t="s">
        <v>144</v>
      </c>
      <c r="E110" s="84"/>
      <c r="F110" s="84"/>
      <c r="G110" s="84"/>
      <c r="H110" s="10" t="s">
        <v>24</v>
      </c>
      <c r="I110" s="10" t="s">
        <v>1</v>
      </c>
      <c r="J110" s="10" t="s">
        <v>8</v>
      </c>
      <c r="K110" s="19">
        <v>5594</v>
      </c>
      <c r="L110" s="21"/>
      <c r="M110" s="22">
        <f>K110+L110</f>
        <v>5594</v>
      </c>
      <c r="N110" s="33"/>
      <c r="O110" s="21"/>
      <c r="P110" s="22">
        <f>M110+O110</f>
        <v>5594</v>
      </c>
      <c r="Q110" s="21">
        <v>-1698.6</v>
      </c>
      <c r="R110" s="22">
        <f t="shared" si="24"/>
        <v>3895.4</v>
      </c>
      <c r="S110" s="46" t="s">
        <v>261</v>
      </c>
      <c r="T110" s="21">
        <v>-127.8</v>
      </c>
      <c r="U110" s="22">
        <f>R110+T110</f>
        <v>3767.6</v>
      </c>
      <c r="V110" s="46" t="s">
        <v>336</v>
      </c>
    </row>
    <row r="111" spans="1:22" s="8" customFormat="1" ht="42" customHeight="1" collapsed="1" x14ac:dyDescent="0.2">
      <c r="A111" s="6"/>
      <c r="B111" s="72" t="s">
        <v>143</v>
      </c>
      <c r="C111" s="72"/>
      <c r="D111" s="72"/>
      <c r="E111" s="72"/>
      <c r="F111" s="72"/>
      <c r="G111" s="72"/>
      <c r="H111" s="11" t="s">
        <v>23</v>
      </c>
      <c r="I111" s="11" t="s">
        <v>3</v>
      </c>
      <c r="J111" s="11" t="s">
        <v>3</v>
      </c>
      <c r="K111" s="20">
        <f>K112+K113</f>
        <v>15325.9</v>
      </c>
      <c r="L111" s="20">
        <f>L112+L113</f>
        <v>1087.9000000000001</v>
      </c>
      <c r="M111" s="20">
        <f>M112+M113</f>
        <v>16413.8</v>
      </c>
      <c r="N111" s="35" t="s">
        <v>227</v>
      </c>
      <c r="O111" s="31">
        <f>O112+O113</f>
        <v>359.6</v>
      </c>
      <c r="P111" s="31">
        <f>P112+P113</f>
        <v>16773.400000000001</v>
      </c>
      <c r="Q111" s="31">
        <f>Q112+Q113</f>
        <v>0</v>
      </c>
      <c r="R111" s="31">
        <f>R112+R113</f>
        <v>16773.400000000001</v>
      </c>
      <c r="S111" s="40"/>
      <c r="T111" s="31">
        <f>T112+T113</f>
        <v>-988</v>
      </c>
      <c r="U111" s="31">
        <f>U112+U113</f>
        <v>15785.4</v>
      </c>
      <c r="V111" s="55" t="s">
        <v>439</v>
      </c>
    </row>
    <row r="112" spans="1:22" ht="94.5" hidden="1" customHeight="1" outlineLevel="1" x14ac:dyDescent="0.2">
      <c r="A112" s="9"/>
      <c r="B112" s="27"/>
      <c r="C112" s="60"/>
      <c r="D112" s="84" t="s">
        <v>142</v>
      </c>
      <c r="E112" s="84"/>
      <c r="F112" s="84"/>
      <c r="G112" s="84"/>
      <c r="H112" s="10" t="s">
        <v>23</v>
      </c>
      <c r="I112" s="10" t="s">
        <v>1</v>
      </c>
      <c r="J112" s="10" t="s">
        <v>8</v>
      </c>
      <c r="K112" s="19">
        <v>6000</v>
      </c>
      <c r="L112" s="21">
        <f>1087.9</f>
        <v>1087.9000000000001</v>
      </c>
      <c r="M112" s="22">
        <f>K112+L112</f>
        <v>7087.9</v>
      </c>
      <c r="N112" s="35" t="s">
        <v>227</v>
      </c>
      <c r="O112" s="21">
        <f>-151.5+78.1</f>
        <v>-73.400000000000006</v>
      </c>
      <c r="P112" s="22">
        <f>M112+O112</f>
        <v>7014.5</v>
      </c>
      <c r="Q112" s="21"/>
      <c r="R112" s="22">
        <f t="shared" si="24"/>
        <v>7014.5</v>
      </c>
      <c r="S112" s="40"/>
      <c r="T112" s="21">
        <v>-873</v>
      </c>
      <c r="U112" s="22">
        <f>R112+T112</f>
        <v>6141.5</v>
      </c>
      <c r="V112" s="40" t="s">
        <v>437</v>
      </c>
    </row>
    <row r="113" spans="1:22" ht="40.5" hidden="1" customHeight="1" outlineLevel="1" x14ac:dyDescent="0.2">
      <c r="A113" s="9"/>
      <c r="B113" s="27"/>
      <c r="C113" s="60"/>
      <c r="D113" s="84" t="s">
        <v>141</v>
      </c>
      <c r="E113" s="84"/>
      <c r="F113" s="84"/>
      <c r="G113" s="84"/>
      <c r="H113" s="10" t="s">
        <v>23</v>
      </c>
      <c r="I113" s="10" t="s">
        <v>1</v>
      </c>
      <c r="J113" s="10" t="s">
        <v>7</v>
      </c>
      <c r="K113" s="19">
        <v>9325.9</v>
      </c>
      <c r="L113" s="21"/>
      <c r="M113" s="22">
        <f>K113+L113</f>
        <v>9325.9</v>
      </c>
      <c r="N113" s="33"/>
      <c r="O113" s="21">
        <v>433</v>
      </c>
      <c r="P113" s="22">
        <f>M113+O113</f>
        <v>9758.9</v>
      </c>
      <c r="Q113" s="21"/>
      <c r="R113" s="22">
        <f t="shared" si="24"/>
        <v>9758.9</v>
      </c>
      <c r="S113" s="40"/>
      <c r="T113" s="21">
        <v>-115</v>
      </c>
      <c r="U113" s="22">
        <f>R113+T113</f>
        <v>9643.9</v>
      </c>
      <c r="V113" s="40" t="s">
        <v>438</v>
      </c>
    </row>
    <row r="114" spans="1:22" s="8" customFormat="1" ht="31.5" customHeight="1" collapsed="1" x14ac:dyDescent="0.2">
      <c r="A114" s="6"/>
      <c r="B114" s="72" t="s">
        <v>145</v>
      </c>
      <c r="C114" s="72"/>
      <c r="D114" s="72"/>
      <c r="E114" s="72"/>
      <c r="F114" s="72"/>
      <c r="G114" s="72"/>
      <c r="H114" s="11" t="s">
        <v>22</v>
      </c>
      <c r="I114" s="11" t="s">
        <v>3</v>
      </c>
      <c r="J114" s="11" t="s">
        <v>3</v>
      </c>
      <c r="K114" s="20">
        <f>K115+K118+K122</f>
        <v>757.5</v>
      </c>
      <c r="L114" s="20">
        <f>L115+L118+L122</f>
        <v>0</v>
      </c>
      <c r="M114" s="20">
        <f>M115+M118+M122</f>
        <v>757.5</v>
      </c>
      <c r="N114" s="34"/>
      <c r="O114" s="31">
        <f>O115+O118+O122</f>
        <v>223</v>
      </c>
      <c r="P114" s="31">
        <f>P115+P118+P122</f>
        <v>980.5</v>
      </c>
      <c r="Q114" s="31">
        <f>Q115+Q118+Q122</f>
        <v>-29.8</v>
      </c>
      <c r="R114" s="31">
        <f>R115+R118+R122</f>
        <v>950.7</v>
      </c>
      <c r="S114" s="46" t="s">
        <v>307</v>
      </c>
      <c r="T114" s="31">
        <f>T115+T118+T122</f>
        <v>100.80000000000001</v>
      </c>
      <c r="U114" s="31">
        <f>U115+U118+U122</f>
        <v>1051.5</v>
      </c>
      <c r="V114" s="46"/>
    </row>
    <row r="115" spans="1:22" ht="59.25" customHeight="1" x14ac:dyDescent="0.2">
      <c r="A115" s="9"/>
      <c r="B115" s="26"/>
      <c r="C115" s="84" t="s">
        <v>146</v>
      </c>
      <c r="D115" s="84"/>
      <c r="E115" s="84"/>
      <c r="F115" s="84"/>
      <c r="G115" s="84"/>
      <c r="H115" s="10" t="s">
        <v>22</v>
      </c>
      <c r="I115" s="10" t="s">
        <v>13</v>
      </c>
      <c r="J115" s="10" t="s">
        <v>3</v>
      </c>
      <c r="K115" s="19">
        <f>K116+K117</f>
        <v>267.5</v>
      </c>
      <c r="L115" s="19">
        <f>L116+L117</f>
        <v>0</v>
      </c>
      <c r="M115" s="19">
        <f>M116+M117</f>
        <v>267.5</v>
      </c>
      <c r="N115" s="33"/>
      <c r="O115" s="21">
        <f>O116+O117</f>
        <v>223</v>
      </c>
      <c r="P115" s="21">
        <f>P116+P117</f>
        <v>490.5</v>
      </c>
      <c r="Q115" s="21">
        <f>Q116+Q117</f>
        <v>-29.8</v>
      </c>
      <c r="R115" s="21">
        <f>R116+R117</f>
        <v>460.7</v>
      </c>
      <c r="S115" s="40" t="s">
        <v>308</v>
      </c>
      <c r="T115" s="21">
        <f>T116+T117</f>
        <v>230.8</v>
      </c>
      <c r="U115" s="21">
        <f>U116+U117</f>
        <v>691.5</v>
      </c>
      <c r="V115" s="40" t="s">
        <v>417</v>
      </c>
    </row>
    <row r="116" spans="1:22" ht="44.25" hidden="1" customHeight="1" outlineLevel="1" x14ac:dyDescent="0.2">
      <c r="A116" s="9"/>
      <c r="B116" s="27"/>
      <c r="C116" s="60"/>
      <c r="D116" s="84" t="s">
        <v>147</v>
      </c>
      <c r="E116" s="84"/>
      <c r="F116" s="84"/>
      <c r="G116" s="84"/>
      <c r="H116" s="10" t="s">
        <v>22</v>
      </c>
      <c r="I116" s="10" t="s">
        <v>13</v>
      </c>
      <c r="J116" s="10" t="s">
        <v>8</v>
      </c>
      <c r="K116" s="19">
        <v>207.5</v>
      </c>
      <c r="L116" s="21"/>
      <c r="M116" s="22">
        <f>K116+L116</f>
        <v>207.5</v>
      </c>
      <c r="N116" s="33"/>
      <c r="O116" s="21">
        <v>223</v>
      </c>
      <c r="P116" s="22">
        <f>M116+O116</f>
        <v>430.5</v>
      </c>
      <c r="Q116" s="21">
        <v>-29.8</v>
      </c>
      <c r="R116" s="22">
        <f t="shared" ref="R116:R123" si="28">P116+Q116</f>
        <v>400.7</v>
      </c>
      <c r="S116" s="46" t="s">
        <v>262</v>
      </c>
      <c r="T116" s="21">
        <v>100.8</v>
      </c>
      <c r="U116" s="22">
        <f>R116+T116</f>
        <v>501.5</v>
      </c>
      <c r="V116" s="46" t="s">
        <v>346</v>
      </c>
    </row>
    <row r="117" spans="1:22" ht="26.25" hidden="1" customHeight="1" outlineLevel="1" x14ac:dyDescent="0.2">
      <c r="A117" s="9"/>
      <c r="B117" s="27"/>
      <c r="C117" s="60"/>
      <c r="D117" s="84" t="s">
        <v>148</v>
      </c>
      <c r="E117" s="84"/>
      <c r="F117" s="84"/>
      <c r="G117" s="84"/>
      <c r="H117" s="10" t="s">
        <v>22</v>
      </c>
      <c r="I117" s="10" t="s">
        <v>13</v>
      </c>
      <c r="J117" s="10" t="s">
        <v>7</v>
      </c>
      <c r="K117" s="19">
        <v>60</v>
      </c>
      <c r="L117" s="21"/>
      <c r="M117" s="22">
        <f>K117+L117</f>
        <v>60</v>
      </c>
      <c r="N117" s="33"/>
      <c r="O117" s="21"/>
      <c r="P117" s="22">
        <f>M117+O117</f>
        <v>60</v>
      </c>
      <c r="Q117" s="21"/>
      <c r="R117" s="22">
        <f t="shared" si="28"/>
        <v>60</v>
      </c>
      <c r="S117" s="44"/>
      <c r="T117" s="21">
        <v>130</v>
      </c>
      <c r="U117" s="22">
        <f>R117+T117</f>
        <v>190</v>
      </c>
      <c r="V117" s="50" t="s">
        <v>403</v>
      </c>
    </row>
    <row r="118" spans="1:22" ht="27" customHeight="1" collapsed="1" x14ac:dyDescent="0.2">
      <c r="A118" s="9"/>
      <c r="B118" s="26"/>
      <c r="C118" s="84" t="s">
        <v>149</v>
      </c>
      <c r="D118" s="84"/>
      <c r="E118" s="84"/>
      <c r="F118" s="84"/>
      <c r="G118" s="84"/>
      <c r="H118" s="10" t="s">
        <v>22</v>
      </c>
      <c r="I118" s="10" t="s">
        <v>9</v>
      </c>
      <c r="J118" s="10" t="s">
        <v>3</v>
      </c>
      <c r="K118" s="19">
        <f>K119+K120+K121</f>
        <v>440</v>
      </c>
      <c r="L118" s="19">
        <f>L119+L120+L121</f>
        <v>0</v>
      </c>
      <c r="M118" s="19">
        <f>M119+M120+M121</f>
        <v>440</v>
      </c>
      <c r="N118" s="33"/>
      <c r="O118" s="21">
        <f>O119+O120+O121</f>
        <v>0</v>
      </c>
      <c r="P118" s="21">
        <f>P119+P120+P121</f>
        <v>440</v>
      </c>
      <c r="Q118" s="21">
        <f>Q119+Q120+Q121</f>
        <v>0</v>
      </c>
      <c r="R118" s="21">
        <f>R119+R120+R121</f>
        <v>440</v>
      </c>
      <c r="S118" s="44"/>
      <c r="T118" s="21">
        <f>T119+T120+T121</f>
        <v>-80</v>
      </c>
      <c r="U118" s="21">
        <f>U119+U120+U121</f>
        <v>360</v>
      </c>
      <c r="V118" s="50" t="s">
        <v>404</v>
      </c>
    </row>
    <row r="119" spans="1:22" ht="18.75" hidden="1" customHeight="1" outlineLevel="1" x14ac:dyDescent="0.2">
      <c r="A119" s="9"/>
      <c r="B119" s="27"/>
      <c r="C119" s="60"/>
      <c r="D119" s="84" t="s">
        <v>151</v>
      </c>
      <c r="E119" s="84"/>
      <c r="F119" s="84"/>
      <c r="G119" s="84"/>
      <c r="H119" s="10" t="s">
        <v>22</v>
      </c>
      <c r="I119" s="10" t="s">
        <v>9</v>
      </c>
      <c r="J119" s="10" t="s">
        <v>8</v>
      </c>
      <c r="K119" s="19">
        <v>300</v>
      </c>
      <c r="L119" s="21"/>
      <c r="M119" s="22">
        <f>K119+L119</f>
        <v>300</v>
      </c>
      <c r="N119" s="33"/>
      <c r="O119" s="21"/>
      <c r="P119" s="22">
        <f>M119+O119</f>
        <v>300</v>
      </c>
      <c r="Q119" s="21"/>
      <c r="R119" s="22">
        <f t="shared" si="28"/>
        <v>300</v>
      </c>
      <c r="S119" s="44"/>
      <c r="T119" s="21"/>
      <c r="U119" s="22">
        <f>R119+T119</f>
        <v>300</v>
      </c>
      <c r="V119" s="44"/>
    </row>
    <row r="120" spans="1:22" ht="21.75" hidden="1" customHeight="1" outlineLevel="1" x14ac:dyDescent="0.2">
      <c r="A120" s="9"/>
      <c r="B120" s="27"/>
      <c r="C120" s="60"/>
      <c r="D120" s="84" t="s">
        <v>150</v>
      </c>
      <c r="E120" s="84"/>
      <c r="F120" s="84"/>
      <c r="G120" s="84"/>
      <c r="H120" s="10" t="s">
        <v>22</v>
      </c>
      <c r="I120" s="10" t="s">
        <v>9</v>
      </c>
      <c r="J120" s="10" t="s">
        <v>7</v>
      </c>
      <c r="K120" s="19">
        <v>60</v>
      </c>
      <c r="L120" s="21"/>
      <c r="M120" s="22">
        <f>K120+L120</f>
        <v>60</v>
      </c>
      <c r="N120" s="33"/>
      <c r="O120" s="21"/>
      <c r="P120" s="22">
        <f>M120+O120</f>
        <v>60</v>
      </c>
      <c r="Q120" s="21"/>
      <c r="R120" s="22">
        <f t="shared" si="28"/>
        <v>60</v>
      </c>
      <c r="S120" s="44"/>
      <c r="T120" s="21"/>
      <c r="U120" s="22">
        <f>R120+T120</f>
        <v>60</v>
      </c>
      <c r="V120" s="44"/>
    </row>
    <row r="121" spans="1:22" ht="26.25" hidden="1" customHeight="1" outlineLevel="1" x14ac:dyDescent="0.2">
      <c r="A121" s="9"/>
      <c r="B121" s="27"/>
      <c r="C121" s="60"/>
      <c r="D121" s="84" t="s">
        <v>152</v>
      </c>
      <c r="E121" s="84"/>
      <c r="F121" s="84"/>
      <c r="G121" s="84"/>
      <c r="H121" s="10" t="s">
        <v>22</v>
      </c>
      <c r="I121" s="10" t="s">
        <v>9</v>
      </c>
      <c r="J121" s="10" t="s">
        <v>11</v>
      </c>
      <c r="K121" s="19">
        <v>80</v>
      </c>
      <c r="L121" s="21"/>
      <c r="M121" s="22">
        <f>K121+L121</f>
        <v>80</v>
      </c>
      <c r="N121" s="33"/>
      <c r="O121" s="21"/>
      <c r="P121" s="22">
        <f>M121+O121</f>
        <v>80</v>
      </c>
      <c r="Q121" s="21"/>
      <c r="R121" s="22">
        <f t="shared" si="28"/>
        <v>80</v>
      </c>
      <c r="S121" s="44"/>
      <c r="T121" s="21">
        <v>-80</v>
      </c>
      <c r="U121" s="22">
        <f>R121+T121</f>
        <v>0</v>
      </c>
      <c r="V121" s="50" t="s">
        <v>404</v>
      </c>
    </row>
    <row r="122" spans="1:22" ht="30.75" customHeight="1" collapsed="1" x14ac:dyDescent="0.2">
      <c r="A122" s="9"/>
      <c r="B122" s="26"/>
      <c r="C122" s="84" t="s">
        <v>153</v>
      </c>
      <c r="D122" s="84"/>
      <c r="E122" s="84"/>
      <c r="F122" s="84"/>
      <c r="G122" s="84"/>
      <c r="H122" s="10" t="s">
        <v>22</v>
      </c>
      <c r="I122" s="10" t="s">
        <v>15</v>
      </c>
      <c r="J122" s="10" t="s">
        <v>3</v>
      </c>
      <c r="K122" s="19">
        <f>K123</f>
        <v>50</v>
      </c>
      <c r="L122" s="19">
        <f t="shared" ref="L122:U122" si="29">L123</f>
        <v>0</v>
      </c>
      <c r="M122" s="19">
        <f t="shared" si="29"/>
        <v>50</v>
      </c>
      <c r="N122" s="33"/>
      <c r="O122" s="21">
        <f t="shared" si="29"/>
        <v>0</v>
      </c>
      <c r="P122" s="21">
        <f t="shared" si="29"/>
        <v>50</v>
      </c>
      <c r="Q122" s="21">
        <f t="shared" si="29"/>
        <v>0</v>
      </c>
      <c r="R122" s="21">
        <f t="shared" si="29"/>
        <v>50</v>
      </c>
      <c r="S122" s="44"/>
      <c r="T122" s="21">
        <f t="shared" si="29"/>
        <v>-50</v>
      </c>
      <c r="U122" s="21">
        <f t="shared" si="29"/>
        <v>0</v>
      </c>
      <c r="V122" s="50" t="s">
        <v>405</v>
      </c>
    </row>
    <row r="123" spans="1:22" ht="27.75" hidden="1" customHeight="1" outlineLevel="1" x14ac:dyDescent="0.2">
      <c r="A123" s="9"/>
      <c r="B123" s="27"/>
      <c r="C123" s="60"/>
      <c r="D123" s="84" t="s">
        <v>298</v>
      </c>
      <c r="E123" s="84"/>
      <c r="F123" s="84"/>
      <c r="G123" s="84"/>
      <c r="H123" s="10" t="s">
        <v>22</v>
      </c>
      <c r="I123" s="10" t="s">
        <v>15</v>
      </c>
      <c r="J123" s="10" t="s">
        <v>8</v>
      </c>
      <c r="K123" s="19">
        <v>50</v>
      </c>
      <c r="L123" s="21"/>
      <c r="M123" s="22">
        <f>K123+L123</f>
        <v>50</v>
      </c>
      <c r="N123" s="33"/>
      <c r="O123" s="21"/>
      <c r="P123" s="22">
        <f>M123+O123</f>
        <v>50</v>
      </c>
      <c r="Q123" s="21"/>
      <c r="R123" s="22">
        <f t="shared" si="28"/>
        <v>50</v>
      </c>
      <c r="S123" s="44"/>
      <c r="T123" s="21">
        <v>-50</v>
      </c>
      <c r="U123" s="22">
        <f>R123+T123</f>
        <v>0</v>
      </c>
      <c r="V123" s="50" t="s">
        <v>405</v>
      </c>
    </row>
    <row r="124" spans="1:22" s="8" customFormat="1" ht="35.25" customHeight="1" collapsed="1" x14ac:dyDescent="0.2">
      <c r="A124" s="6"/>
      <c r="B124" s="72" t="s">
        <v>154</v>
      </c>
      <c r="C124" s="72"/>
      <c r="D124" s="72"/>
      <c r="E124" s="72"/>
      <c r="F124" s="72"/>
      <c r="G124" s="72"/>
      <c r="H124" s="11" t="s">
        <v>21</v>
      </c>
      <c r="I124" s="11" t="s">
        <v>3</v>
      </c>
      <c r="J124" s="11" t="s">
        <v>3</v>
      </c>
      <c r="K124" s="20">
        <f>K125+K131+K134</f>
        <v>3034.9</v>
      </c>
      <c r="L124" s="20">
        <f>L125+L131+L134</f>
        <v>0</v>
      </c>
      <c r="M124" s="20">
        <f>M125+M131+M134</f>
        <v>3034.9</v>
      </c>
      <c r="N124" s="34"/>
      <c r="O124" s="31">
        <f>O125+O131+O134</f>
        <v>106</v>
      </c>
      <c r="P124" s="31">
        <f>P125+P131+P134</f>
        <v>3140.9</v>
      </c>
      <c r="Q124" s="31">
        <f>Q125+Q131+Q134</f>
        <v>329.8</v>
      </c>
      <c r="R124" s="31">
        <f>R125+R131+R134</f>
        <v>3470.7000000000003</v>
      </c>
      <c r="S124" s="46"/>
      <c r="T124" s="31">
        <f>T125+T131+T134</f>
        <v>-2207.5</v>
      </c>
      <c r="U124" s="31">
        <f>U125+U131+U134</f>
        <v>1263.2000000000003</v>
      </c>
      <c r="V124" s="46"/>
    </row>
    <row r="125" spans="1:22" ht="48" customHeight="1" x14ac:dyDescent="0.2">
      <c r="A125" s="9"/>
      <c r="B125" s="26"/>
      <c r="C125" s="84" t="s">
        <v>155</v>
      </c>
      <c r="D125" s="84"/>
      <c r="E125" s="84"/>
      <c r="F125" s="84"/>
      <c r="G125" s="84"/>
      <c r="H125" s="10" t="s">
        <v>21</v>
      </c>
      <c r="I125" s="10" t="s">
        <v>13</v>
      </c>
      <c r="J125" s="10" t="s">
        <v>3</v>
      </c>
      <c r="K125" s="19">
        <f>K126+K127+K128+K129+K130</f>
        <v>597.9</v>
      </c>
      <c r="L125" s="19">
        <f>L126+L127+L128+L129+L130</f>
        <v>0</v>
      </c>
      <c r="M125" s="19">
        <f>M126+M127+M128+M129+M130</f>
        <v>597.9</v>
      </c>
      <c r="N125" s="33"/>
      <c r="O125" s="21">
        <f>O126+O127+O128+O129+O130</f>
        <v>106</v>
      </c>
      <c r="P125" s="21">
        <f>P126+P127+P128+P129+P130</f>
        <v>703.9</v>
      </c>
      <c r="Q125" s="21">
        <f>Q126+Q127+Q128+Q129+Q130</f>
        <v>0</v>
      </c>
      <c r="R125" s="21">
        <f>R126+R127+R128+R129+R130</f>
        <v>703.9</v>
      </c>
      <c r="S125" s="46"/>
      <c r="T125" s="21">
        <f>T126+T127+T128+T129+T130</f>
        <v>0</v>
      </c>
      <c r="U125" s="21">
        <f>U126+U127+U128+U129+U130</f>
        <v>703.9</v>
      </c>
      <c r="V125" s="46"/>
    </row>
    <row r="126" spans="1:22" ht="21.75" hidden="1" customHeight="1" outlineLevel="1" x14ac:dyDescent="0.2">
      <c r="A126" s="9"/>
      <c r="B126" s="27"/>
      <c r="C126" s="60"/>
      <c r="D126" s="84" t="s">
        <v>156</v>
      </c>
      <c r="E126" s="84"/>
      <c r="F126" s="84"/>
      <c r="G126" s="84"/>
      <c r="H126" s="10" t="s">
        <v>21</v>
      </c>
      <c r="I126" s="10" t="s">
        <v>13</v>
      </c>
      <c r="J126" s="10" t="s">
        <v>8</v>
      </c>
      <c r="K126" s="19">
        <v>220</v>
      </c>
      <c r="L126" s="21"/>
      <c r="M126" s="22">
        <f>K126+L126</f>
        <v>220</v>
      </c>
      <c r="N126" s="33"/>
      <c r="O126" s="21"/>
      <c r="P126" s="22">
        <f t="shared" ref="P126:P136" si="30">M126+O126</f>
        <v>220</v>
      </c>
      <c r="Q126" s="21"/>
      <c r="R126" s="22">
        <f t="shared" ref="R126:R136" si="31">P126+Q126</f>
        <v>220</v>
      </c>
      <c r="S126" s="44"/>
      <c r="T126" s="21"/>
      <c r="U126" s="22">
        <f>R126+T126</f>
        <v>220</v>
      </c>
      <c r="V126" s="44"/>
    </row>
    <row r="127" spans="1:22" ht="35.25" hidden="1" customHeight="1" outlineLevel="1" x14ac:dyDescent="0.2">
      <c r="A127" s="9"/>
      <c r="B127" s="27"/>
      <c r="C127" s="60"/>
      <c r="D127" s="84" t="s">
        <v>157</v>
      </c>
      <c r="E127" s="84"/>
      <c r="F127" s="84"/>
      <c r="G127" s="84"/>
      <c r="H127" s="10" t="s">
        <v>21</v>
      </c>
      <c r="I127" s="10" t="s">
        <v>13</v>
      </c>
      <c r="J127" s="10" t="s">
        <v>7</v>
      </c>
      <c r="K127" s="19">
        <v>220.9</v>
      </c>
      <c r="L127" s="21"/>
      <c r="M127" s="22">
        <f>K127+L127</f>
        <v>220.9</v>
      </c>
      <c r="N127" s="33"/>
      <c r="O127" s="21"/>
      <c r="P127" s="22">
        <f t="shared" si="30"/>
        <v>220.9</v>
      </c>
      <c r="Q127" s="21"/>
      <c r="R127" s="22">
        <f t="shared" si="31"/>
        <v>220.9</v>
      </c>
      <c r="S127" s="44"/>
      <c r="T127" s="21"/>
      <c r="U127" s="22">
        <f>R127+T127</f>
        <v>220.9</v>
      </c>
      <c r="V127" s="44"/>
    </row>
    <row r="128" spans="1:22" ht="24.75" hidden="1" customHeight="1" outlineLevel="1" x14ac:dyDescent="0.2">
      <c r="A128" s="9"/>
      <c r="B128" s="27"/>
      <c r="C128" s="60"/>
      <c r="D128" s="84" t="s">
        <v>158</v>
      </c>
      <c r="E128" s="84"/>
      <c r="F128" s="84"/>
      <c r="G128" s="84"/>
      <c r="H128" s="10" t="s">
        <v>21</v>
      </c>
      <c r="I128" s="10" t="s">
        <v>13</v>
      </c>
      <c r="J128" s="10" t="s">
        <v>6</v>
      </c>
      <c r="K128" s="19">
        <v>44</v>
      </c>
      <c r="L128" s="21"/>
      <c r="M128" s="22">
        <f>K128+L128</f>
        <v>44</v>
      </c>
      <c r="N128" s="33"/>
      <c r="O128" s="21">
        <f>106</f>
        <v>106</v>
      </c>
      <c r="P128" s="22">
        <f t="shared" si="30"/>
        <v>150</v>
      </c>
      <c r="Q128" s="21"/>
      <c r="R128" s="22">
        <f t="shared" si="31"/>
        <v>150</v>
      </c>
      <c r="S128" s="47"/>
      <c r="T128" s="21"/>
      <c r="U128" s="22">
        <f>R128+T128</f>
        <v>150</v>
      </c>
      <c r="V128" s="47"/>
    </row>
    <row r="129" spans="1:22" ht="37.5" hidden="1" customHeight="1" outlineLevel="1" x14ac:dyDescent="0.2">
      <c r="A129" s="9"/>
      <c r="B129" s="27"/>
      <c r="C129" s="60"/>
      <c r="D129" s="84" t="s">
        <v>159</v>
      </c>
      <c r="E129" s="84"/>
      <c r="F129" s="84"/>
      <c r="G129" s="84"/>
      <c r="H129" s="10" t="s">
        <v>21</v>
      </c>
      <c r="I129" s="10" t="s">
        <v>13</v>
      </c>
      <c r="J129" s="10" t="s">
        <v>5</v>
      </c>
      <c r="K129" s="19">
        <v>53</v>
      </c>
      <c r="L129" s="21"/>
      <c r="M129" s="22">
        <f>K129+L129</f>
        <v>53</v>
      </c>
      <c r="N129" s="33"/>
      <c r="O129" s="21"/>
      <c r="P129" s="22">
        <f t="shared" si="30"/>
        <v>53</v>
      </c>
      <c r="Q129" s="21"/>
      <c r="R129" s="22">
        <f t="shared" si="31"/>
        <v>53</v>
      </c>
      <c r="S129" s="44"/>
      <c r="T129" s="21"/>
      <c r="U129" s="22">
        <f>R129+T129</f>
        <v>53</v>
      </c>
      <c r="V129" s="44"/>
    </row>
    <row r="130" spans="1:22" ht="24.75" hidden="1" customHeight="1" outlineLevel="1" x14ac:dyDescent="0.2">
      <c r="A130" s="9"/>
      <c r="B130" s="27"/>
      <c r="C130" s="60"/>
      <c r="D130" s="84" t="s">
        <v>160</v>
      </c>
      <c r="E130" s="84"/>
      <c r="F130" s="84"/>
      <c r="G130" s="84"/>
      <c r="H130" s="10" t="s">
        <v>21</v>
      </c>
      <c r="I130" s="10" t="s">
        <v>13</v>
      </c>
      <c r="J130" s="10" t="s">
        <v>4</v>
      </c>
      <c r="K130" s="19">
        <v>60</v>
      </c>
      <c r="L130" s="21"/>
      <c r="M130" s="22">
        <f>K130+L130</f>
        <v>60</v>
      </c>
      <c r="N130" s="33"/>
      <c r="O130" s="21"/>
      <c r="P130" s="22">
        <f t="shared" si="30"/>
        <v>60</v>
      </c>
      <c r="Q130" s="21"/>
      <c r="R130" s="22">
        <f t="shared" si="31"/>
        <v>60</v>
      </c>
      <c r="S130" s="44"/>
      <c r="T130" s="21"/>
      <c r="U130" s="22">
        <f>R130+T130</f>
        <v>60</v>
      </c>
      <c r="V130" s="44"/>
    </row>
    <row r="131" spans="1:22" ht="28.5" customHeight="1" collapsed="1" x14ac:dyDescent="0.2">
      <c r="A131" s="9"/>
      <c r="B131" s="26"/>
      <c r="C131" s="84" t="s">
        <v>161</v>
      </c>
      <c r="D131" s="84"/>
      <c r="E131" s="84"/>
      <c r="F131" s="84"/>
      <c r="G131" s="84"/>
      <c r="H131" s="10" t="s">
        <v>21</v>
      </c>
      <c r="I131" s="10" t="s">
        <v>9</v>
      </c>
      <c r="J131" s="10" t="s">
        <v>3</v>
      </c>
      <c r="K131" s="19">
        <f>K132+K133</f>
        <v>176.5</v>
      </c>
      <c r="L131" s="19">
        <f>L132+L133</f>
        <v>0</v>
      </c>
      <c r="M131" s="19">
        <f>M132+M133</f>
        <v>176.5</v>
      </c>
      <c r="N131" s="33"/>
      <c r="O131" s="21">
        <f>O132+O133</f>
        <v>0</v>
      </c>
      <c r="P131" s="21">
        <f>P132+P133</f>
        <v>176.5</v>
      </c>
      <c r="Q131" s="21">
        <f>Q132+Q133</f>
        <v>0</v>
      </c>
      <c r="R131" s="21">
        <f>R132+R133</f>
        <v>176.5</v>
      </c>
      <c r="S131" s="44"/>
      <c r="T131" s="21">
        <f>T132+T133</f>
        <v>0</v>
      </c>
      <c r="U131" s="21">
        <f>U132+U133</f>
        <v>176.5</v>
      </c>
      <c r="V131" s="44"/>
    </row>
    <row r="132" spans="1:22" ht="25.5" hidden="1" customHeight="1" outlineLevel="1" x14ac:dyDescent="0.2">
      <c r="A132" s="9"/>
      <c r="B132" s="27"/>
      <c r="C132" s="60"/>
      <c r="D132" s="84" t="s">
        <v>162</v>
      </c>
      <c r="E132" s="84"/>
      <c r="F132" s="84"/>
      <c r="G132" s="84"/>
      <c r="H132" s="10" t="s">
        <v>21</v>
      </c>
      <c r="I132" s="10" t="s">
        <v>9</v>
      </c>
      <c r="J132" s="10" t="s">
        <v>8</v>
      </c>
      <c r="K132" s="19">
        <v>132.5</v>
      </c>
      <c r="L132" s="21"/>
      <c r="M132" s="22">
        <f>K132+L132</f>
        <v>132.5</v>
      </c>
      <c r="N132" s="33"/>
      <c r="O132" s="21"/>
      <c r="P132" s="22">
        <f t="shared" si="30"/>
        <v>132.5</v>
      </c>
      <c r="Q132" s="21"/>
      <c r="R132" s="22">
        <f t="shared" si="31"/>
        <v>132.5</v>
      </c>
      <c r="S132" s="44"/>
      <c r="T132" s="21"/>
      <c r="U132" s="22">
        <f>R132+T132</f>
        <v>132.5</v>
      </c>
      <c r="V132" s="44"/>
    </row>
    <row r="133" spans="1:22" ht="26.25" hidden="1" customHeight="1" outlineLevel="1" x14ac:dyDescent="0.2">
      <c r="A133" s="9"/>
      <c r="B133" s="27"/>
      <c r="C133" s="60"/>
      <c r="D133" s="84" t="s">
        <v>165</v>
      </c>
      <c r="E133" s="84"/>
      <c r="F133" s="84"/>
      <c r="G133" s="84"/>
      <c r="H133" s="10" t="s">
        <v>21</v>
      </c>
      <c r="I133" s="10" t="s">
        <v>9</v>
      </c>
      <c r="J133" s="10" t="s">
        <v>7</v>
      </c>
      <c r="K133" s="19">
        <v>44</v>
      </c>
      <c r="L133" s="21"/>
      <c r="M133" s="22">
        <f>K133+L133</f>
        <v>44</v>
      </c>
      <c r="N133" s="33"/>
      <c r="O133" s="21"/>
      <c r="P133" s="22">
        <f t="shared" si="30"/>
        <v>44</v>
      </c>
      <c r="Q133" s="21"/>
      <c r="R133" s="22">
        <f t="shared" si="31"/>
        <v>44</v>
      </c>
      <c r="S133" s="44"/>
      <c r="T133" s="21"/>
      <c r="U133" s="22">
        <f>R133+T133</f>
        <v>44</v>
      </c>
      <c r="V133" s="44"/>
    </row>
    <row r="134" spans="1:22" ht="84.75" customHeight="1" collapsed="1" x14ac:dyDescent="0.2">
      <c r="A134" s="9"/>
      <c r="B134" s="26"/>
      <c r="C134" s="84" t="s">
        <v>164</v>
      </c>
      <c r="D134" s="84"/>
      <c r="E134" s="84"/>
      <c r="F134" s="84"/>
      <c r="G134" s="84"/>
      <c r="H134" s="10" t="s">
        <v>21</v>
      </c>
      <c r="I134" s="10" t="s">
        <v>15</v>
      </c>
      <c r="J134" s="10" t="s">
        <v>3</v>
      </c>
      <c r="K134" s="19">
        <f>K135+K136</f>
        <v>2260.5</v>
      </c>
      <c r="L134" s="19">
        <f>L135+L136</f>
        <v>0</v>
      </c>
      <c r="M134" s="19">
        <f>M135+M136</f>
        <v>2260.5</v>
      </c>
      <c r="N134" s="33"/>
      <c r="O134" s="21">
        <f>O135+O136</f>
        <v>0</v>
      </c>
      <c r="P134" s="21">
        <f>P135+P136</f>
        <v>2260.5</v>
      </c>
      <c r="Q134" s="21">
        <f>Q135+Q136</f>
        <v>329.8</v>
      </c>
      <c r="R134" s="21">
        <f>R135+R136</f>
        <v>2590.3000000000002</v>
      </c>
      <c r="S134" s="46" t="s">
        <v>288</v>
      </c>
      <c r="T134" s="21">
        <f>T135+T136</f>
        <v>-2207.5</v>
      </c>
      <c r="U134" s="21">
        <f>U135+U136</f>
        <v>382.80000000000018</v>
      </c>
      <c r="V134" s="49" t="s">
        <v>363</v>
      </c>
    </row>
    <row r="135" spans="1:22" ht="40.5" hidden="1" customHeight="1" outlineLevel="1" x14ac:dyDescent="0.2">
      <c r="A135" s="9"/>
      <c r="B135" s="27"/>
      <c r="C135" s="60"/>
      <c r="D135" s="84" t="s">
        <v>163</v>
      </c>
      <c r="E135" s="84"/>
      <c r="F135" s="84"/>
      <c r="G135" s="84"/>
      <c r="H135" s="10" t="s">
        <v>21</v>
      </c>
      <c r="I135" s="10" t="s">
        <v>15</v>
      </c>
      <c r="J135" s="10" t="s">
        <v>8</v>
      </c>
      <c r="K135" s="19">
        <v>53</v>
      </c>
      <c r="L135" s="21"/>
      <c r="M135" s="22">
        <f>K135+L135</f>
        <v>53</v>
      </c>
      <c r="N135" s="33"/>
      <c r="O135" s="21"/>
      <c r="P135" s="22">
        <f t="shared" si="30"/>
        <v>53</v>
      </c>
      <c r="Q135" s="21"/>
      <c r="R135" s="22">
        <f t="shared" si="31"/>
        <v>53</v>
      </c>
      <c r="S135" s="44"/>
      <c r="T135" s="21"/>
      <c r="U135" s="22">
        <f>R135+T135</f>
        <v>53</v>
      </c>
      <c r="V135" s="49"/>
    </row>
    <row r="136" spans="1:22" ht="87" hidden="1" customHeight="1" outlineLevel="1" x14ac:dyDescent="0.2">
      <c r="A136" s="9"/>
      <c r="B136" s="27"/>
      <c r="C136" s="60"/>
      <c r="D136" s="84" t="s">
        <v>167</v>
      </c>
      <c r="E136" s="84"/>
      <c r="F136" s="84"/>
      <c r="G136" s="84"/>
      <c r="H136" s="10" t="s">
        <v>21</v>
      </c>
      <c r="I136" s="10" t="s">
        <v>15</v>
      </c>
      <c r="J136" s="10" t="s">
        <v>7</v>
      </c>
      <c r="K136" s="19">
        <v>2207.5</v>
      </c>
      <c r="L136" s="21"/>
      <c r="M136" s="22">
        <f>K136+L136</f>
        <v>2207.5</v>
      </c>
      <c r="N136" s="33"/>
      <c r="O136" s="21"/>
      <c r="P136" s="22">
        <f t="shared" si="30"/>
        <v>2207.5</v>
      </c>
      <c r="Q136" s="21">
        <f>29.8+300</f>
        <v>329.8</v>
      </c>
      <c r="R136" s="22">
        <f t="shared" si="31"/>
        <v>2537.3000000000002</v>
      </c>
      <c r="S136" s="46" t="s">
        <v>278</v>
      </c>
      <c r="T136" s="21">
        <v>-2207.5</v>
      </c>
      <c r="U136" s="22">
        <f>R136+T136</f>
        <v>329.80000000000018</v>
      </c>
      <c r="V136" s="49" t="s">
        <v>339</v>
      </c>
    </row>
    <row r="137" spans="1:22" s="8" customFormat="1" ht="30.75" customHeight="1" collapsed="1" x14ac:dyDescent="0.2">
      <c r="A137" s="6"/>
      <c r="B137" s="72" t="s">
        <v>166</v>
      </c>
      <c r="C137" s="72"/>
      <c r="D137" s="72"/>
      <c r="E137" s="72"/>
      <c r="F137" s="72"/>
      <c r="G137" s="72"/>
      <c r="H137" s="11" t="s">
        <v>20</v>
      </c>
      <c r="I137" s="11" t="s">
        <v>3</v>
      </c>
      <c r="J137" s="11" t="s">
        <v>3</v>
      </c>
      <c r="K137" s="20">
        <f>K138</f>
        <v>8559.9</v>
      </c>
      <c r="L137" s="20">
        <f t="shared" ref="L137:U138" si="32">L138</f>
        <v>5952.9</v>
      </c>
      <c r="M137" s="20">
        <f t="shared" si="32"/>
        <v>14512.8</v>
      </c>
      <c r="N137" s="34"/>
      <c r="O137" s="31">
        <f t="shared" si="32"/>
        <v>100</v>
      </c>
      <c r="P137" s="31">
        <f t="shared" si="32"/>
        <v>14612.8</v>
      </c>
      <c r="Q137" s="31">
        <f t="shared" si="32"/>
        <v>-247.7</v>
      </c>
      <c r="R137" s="31">
        <f t="shared" si="32"/>
        <v>14365.099999999999</v>
      </c>
      <c r="S137" s="45"/>
      <c r="T137" s="31">
        <f t="shared" si="32"/>
        <v>-319.5</v>
      </c>
      <c r="U137" s="31">
        <f t="shared" si="32"/>
        <v>14045.599999999999</v>
      </c>
      <c r="V137" s="45"/>
    </row>
    <row r="138" spans="1:22" ht="41.25" customHeight="1" x14ac:dyDescent="0.2">
      <c r="A138" s="9"/>
      <c r="B138" s="26"/>
      <c r="C138" s="84" t="s">
        <v>168</v>
      </c>
      <c r="D138" s="84"/>
      <c r="E138" s="84"/>
      <c r="F138" s="84"/>
      <c r="G138" s="84"/>
      <c r="H138" s="10" t="s">
        <v>20</v>
      </c>
      <c r="I138" s="10" t="s">
        <v>13</v>
      </c>
      <c r="J138" s="10" t="s">
        <v>3</v>
      </c>
      <c r="K138" s="19">
        <f>K139</f>
        <v>8559.9</v>
      </c>
      <c r="L138" s="19">
        <f t="shared" si="32"/>
        <v>5952.9</v>
      </c>
      <c r="M138" s="19">
        <f t="shared" si="32"/>
        <v>14512.8</v>
      </c>
      <c r="N138" s="35" t="s">
        <v>237</v>
      </c>
      <c r="O138" s="21">
        <f t="shared" si="32"/>
        <v>100</v>
      </c>
      <c r="P138" s="21">
        <f t="shared" si="32"/>
        <v>14612.8</v>
      </c>
      <c r="Q138" s="21">
        <f t="shared" si="32"/>
        <v>-247.7</v>
      </c>
      <c r="R138" s="21">
        <f t="shared" si="32"/>
        <v>14365.099999999999</v>
      </c>
      <c r="S138" s="40" t="s">
        <v>299</v>
      </c>
      <c r="T138" s="21">
        <f t="shared" si="32"/>
        <v>-319.5</v>
      </c>
      <c r="U138" s="21">
        <f t="shared" si="32"/>
        <v>14045.599999999999</v>
      </c>
      <c r="V138" s="40" t="s">
        <v>441</v>
      </c>
    </row>
    <row r="139" spans="1:22" ht="60" hidden="1" customHeight="1" outlineLevel="1" x14ac:dyDescent="0.2">
      <c r="A139" s="9"/>
      <c r="B139" s="27"/>
      <c r="C139" s="60"/>
      <c r="D139" s="84" t="s">
        <v>169</v>
      </c>
      <c r="E139" s="84"/>
      <c r="F139" s="84"/>
      <c r="G139" s="84"/>
      <c r="H139" s="10" t="s">
        <v>20</v>
      </c>
      <c r="I139" s="10" t="s">
        <v>13</v>
      </c>
      <c r="J139" s="10" t="s">
        <v>8</v>
      </c>
      <c r="K139" s="19">
        <v>8559.9</v>
      </c>
      <c r="L139" s="21">
        <f>1752.9+4200</f>
        <v>5952.9</v>
      </c>
      <c r="M139" s="22">
        <f>K139+L139</f>
        <v>14512.8</v>
      </c>
      <c r="N139" s="35" t="s">
        <v>228</v>
      </c>
      <c r="O139" s="21">
        <v>100</v>
      </c>
      <c r="P139" s="22">
        <f>M139+O139</f>
        <v>14612.8</v>
      </c>
      <c r="Q139" s="21">
        <f>-497.7+250</f>
        <v>-247.7</v>
      </c>
      <c r="R139" s="22">
        <f>P139+Q139</f>
        <v>14365.099999999999</v>
      </c>
      <c r="S139" s="40" t="s">
        <v>406</v>
      </c>
      <c r="T139" s="21">
        <f>-65.2-83-171.3</f>
        <v>-319.5</v>
      </c>
      <c r="U139" s="22">
        <f>R139+T139</f>
        <v>14045.599999999999</v>
      </c>
      <c r="V139" s="40" t="s">
        <v>440</v>
      </c>
    </row>
    <row r="140" spans="1:22" s="8" customFormat="1" ht="27" customHeight="1" collapsed="1" x14ac:dyDescent="0.2">
      <c r="A140" s="6"/>
      <c r="B140" s="72" t="s">
        <v>170</v>
      </c>
      <c r="C140" s="72"/>
      <c r="D140" s="72"/>
      <c r="E140" s="72"/>
      <c r="F140" s="72"/>
      <c r="G140" s="72"/>
      <c r="H140" s="11" t="s">
        <v>19</v>
      </c>
      <c r="I140" s="11" t="s">
        <v>3</v>
      </c>
      <c r="J140" s="11" t="s">
        <v>3</v>
      </c>
      <c r="K140" s="20">
        <f>K141+K145</f>
        <v>550421.80000000005</v>
      </c>
      <c r="L140" s="20">
        <f>L141+L145</f>
        <v>5119.7999999999993</v>
      </c>
      <c r="M140" s="20">
        <f>M141+M145</f>
        <v>555541.60000000009</v>
      </c>
      <c r="N140" s="34"/>
      <c r="O140" s="31">
        <f>O141+O145</f>
        <v>-962.40000000000055</v>
      </c>
      <c r="P140" s="31">
        <f>P141+P145</f>
        <v>554579.20000000007</v>
      </c>
      <c r="Q140" s="31">
        <f>Q141+Q145</f>
        <v>31589.599999999999</v>
      </c>
      <c r="R140" s="31">
        <f>R141+R145</f>
        <v>586168.80000000005</v>
      </c>
      <c r="S140" s="40"/>
      <c r="T140" s="31">
        <f>T141+T145</f>
        <v>3398.7999999999997</v>
      </c>
      <c r="U140" s="31">
        <f>U141+U145</f>
        <v>589567.60000000009</v>
      </c>
      <c r="V140" s="40"/>
    </row>
    <row r="141" spans="1:22" ht="96.75" customHeight="1" x14ac:dyDescent="0.2">
      <c r="A141" s="9"/>
      <c r="B141" s="26"/>
      <c r="C141" s="84" t="s">
        <v>171</v>
      </c>
      <c r="D141" s="84"/>
      <c r="E141" s="84"/>
      <c r="F141" s="84"/>
      <c r="G141" s="84"/>
      <c r="H141" s="10" t="s">
        <v>19</v>
      </c>
      <c r="I141" s="10" t="s">
        <v>13</v>
      </c>
      <c r="J141" s="10" t="s">
        <v>3</v>
      </c>
      <c r="K141" s="19">
        <f>K142+K143+K144</f>
        <v>340208.7</v>
      </c>
      <c r="L141" s="19">
        <f>L142+L143+L144</f>
        <v>2853.2</v>
      </c>
      <c r="M141" s="19">
        <f>M142+M143+M144</f>
        <v>343061.9</v>
      </c>
      <c r="N141" s="35" t="s">
        <v>238</v>
      </c>
      <c r="O141" s="21">
        <f>O142+O143+O144</f>
        <v>-2318.6000000000004</v>
      </c>
      <c r="P141" s="21">
        <f>P142+P143+P144</f>
        <v>340743.30000000005</v>
      </c>
      <c r="Q141" s="21">
        <f>Q142+Q143+Q144</f>
        <v>7362.6999999999989</v>
      </c>
      <c r="R141" s="21">
        <f>R142+R143+R144</f>
        <v>348106.00000000006</v>
      </c>
      <c r="S141" s="40" t="s">
        <v>287</v>
      </c>
      <c r="T141" s="21">
        <f>T142+T143+T144</f>
        <v>-40.6</v>
      </c>
      <c r="U141" s="21">
        <f>U142+U143+U144</f>
        <v>348065.40000000008</v>
      </c>
      <c r="V141" s="40" t="s">
        <v>428</v>
      </c>
    </row>
    <row r="142" spans="1:22" ht="33" hidden="1" customHeight="1" outlineLevel="1" x14ac:dyDescent="0.2">
      <c r="A142" s="9"/>
      <c r="B142" s="27"/>
      <c r="C142" s="60"/>
      <c r="D142" s="84" t="s">
        <v>172</v>
      </c>
      <c r="E142" s="84"/>
      <c r="F142" s="84"/>
      <c r="G142" s="84"/>
      <c r="H142" s="10" t="s">
        <v>19</v>
      </c>
      <c r="I142" s="10" t="s">
        <v>13</v>
      </c>
      <c r="J142" s="10" t="s">
        <v>8</v>
      </c>
      <c r="K142" s="19">
        <v>310555.2</v>
      </c>
      <c r="L142" s="21">
        <f>-326.8-20-150+3390-40</f>
        <v>2853.2</v>
      </c>
      <c r="M142" s="22">
        <f>K142+L142</f>
        <v>313408.40000000002</v>
      </c>
      <c r="N142" s="35" t="s">
        <v>230</v>
      </c>
      <c r="O142" s="21">
        <f>-50-1399.6-80-3340-75-25</f>
        <v>-4969.6000000000004</v>
      </c>
      <c r="P142" s="22">
        <f>M142+O142</f>
        <v>308438.80000000005</v>
      </c>
      <c r="Q142" s="21">
        <f>2460.6-113.3-37.5-50-164-6+2000+747.5+299+2226.4</f>
        <v>7362.6999999999989</v>
      </c>
      <c r="R142" s="22">
        <f>P142+Q142</f>
        <v>315801.50000000006</v>
      </c>
      <c r="S142" s="40" t="s">
        <v>274</v>
      </c>
      <c r="T142" s="21">
        <f>-3.5</f>
        <v>-3.5</v>
      </c>
      <c r="U142" s="22">
        <f>R142+T142</f>
        <v>315798.00000000006</v>
      </c>
      <c r="V142" s="40" t="s">
        <v>337</v>
      </c>
    </row>
    <row r="143" spans="1:22" ht="27" hidden="1" customHeight="1" outlineLevel="1" x14ac:dyDescent="0.2">
      <c r="A143" s="9"/>
      <c r="B143" s="27"/>
      <c r="C143" s="60"/>
      <c r="D143" s="84" t="s">
        <v>174</v>
      </c>
      <c r="E143" s="84"/>
      <c r="F143" s="84"/>
      <c r="G143" s="84"/>
      <c r="H143" s="10" t="s">
        <v>19</v>
      </c>
      <c r="I143" s="10" t="s">
        <v>13</v>
      </c>
      <c r="J143" s="10" t="s">
        <v>7</v>
      </c>
      <c r="K143" s="19">
        <v>19203.5</v>
      </c>
      <c r="L143" s="21"/>
      <c r="M143" s="22">
        <f>K143+L143</f>
        <v>19203.5</v>
      </c>
      <c r="N143" s="33"/>
      <c r="O143" s="21"/>
      <c r="P143" s="22">
        <f>M143+O143</f>
        <v>19203.5</v>
      </c>
      <c r="Q143" s="21"/>
      <c r="R143" s="22">
        <f>P143+Q143</f>
        <v>19203.5</v>
      </c>
      <c r="S143" s="40"/>
      <c r="T143" s="21">
        <v>-37.1</v>
      </c>
      <c r="U143" s="22">
        <f>R143+T143</f>
        <v>19166.400000000001</v>
      </c>
      <c r="V143" s="40" t="s">
        <v>427</v>
      </c>
    </row>
    <row r="144" spans="1:22" ht="42" hidden="1" customHeight="1" outlineLevel="1" x14ac:dyDescent="0.2">
      <c r="A144" s="9"/>
      <c r="B144" s="27"/>
      <c r="C144" s="60"/>
      <c r="D144" s="84" t="s">
        <v>173</v>
      </c>
      <c r="E144" s="84"/>
      <c r="F144" s="84"/>
      <c r="G144" s="84"/>
      <c r="H144" s="10" t="s">
        <v>19</v>
      </c>
      <c r="I144" s="10" t="s">
        <v>13</v>
      </c>
      <c r="J144" s="10" t="s">
        <v>6</v>
      </c>
      <c r="K144" s="19">
        <v>10450</v>
      </c>
      <c r="L144" s="21"/>
      <c r="M144" s="22">
        <f>K144+L144</f>
        <v>10450</v>
      </c>
      <c r="N144" s="33"/>
      <c r="O144" s="21">
        <v>2651</v>
      </c>
      <c r="P144" s="22">
        <f>M144+O144</f>
        <v>13101</v>
      </c>
      <c r="Q144" s="21"/>
      <c r="R144" s="22">
        <f>P144+Q144</f>
        <v>13101</v>
      </c>
      <c r="S144" s="40"/>
      <c r="T144" s="21"/>
      <c r="U144" s="22">
        <f>R144+T144</f>
        <v>13101</v>
      </c>
      <c r="V144" s="40"/>
    </row>
    <row r="145" spans="1:22" ht="281.25" collapsed="1" x14ac:dyDescent="0.2">
      <c r="A145" s="9"/>
      <c r="B145" s="26"/>
      <c r="C145" s="84" t="s">
        <v>177</v>
      </c>
      <c r="D145" s="84"/>
      <c r="E145" s="84"/>
      <c r="F145" s="84"/>
      <c r="G145" s="84"/>
      <c r="H145" s="10" t="s">
        <v>19</v>
      </c>
      <c r="I145" s="10" t="s">
        <v>9</v>
      </c>
      <c r="J145" s="10" t="s">
        <v>3</v>
      </c>
      <c r="K145" s="19">
        <f>K146+K147</f>
        <v>210213.1</v>
      </c>
      <c r="L145" s="19">
        <f>L146+L147</f>
        <v>2266.6</v>
      </c>
      <c r="M145" s="19">
        <f>M146+M147</f>
        <v>212479.7</v>
      </c>
      <c r="N145" s="35" t="s">
        <v>229</v>
      </c>
      <c r="O145" s="21">
        <f>O146+O147</f>
        <v>1356.1999999999998</v>
      </c>
      <c r="P145" s="21">
        <f>P146+P147</f>
        <v>213835.9</v>
      </c>
      <c r="Q145" s="21">
        <f>Q146+Q147</f>
        <v>24226.9</v>
      </c>
      <c r="R145" s="21">
        <f>R146+R147</f>
        <v>238062.8</v>
      </c>
      <c r="S145" s="40" t="s">
        <v>285</v>
      </c>
      <c r="T145" s="21">
        <f>T146+T147</f>
        <v>3439.3999999999996</v>
      </c>
      <c r="U145" s="21">
        <f>U146+U147</f>
        <v>241502.2</v>
      </c>
      <c r="V145" s="40" t="s">
        <v>367</v>
      </c>
    </row>
    <row r="146" spans="1:22" ht="82.5" hidden="1" customHeight="1" outlineLevel="1" x14ac:dyDescent="0.2">
      <c r="A146" s="9"/>
      <c r="B146" s="27"/>
      <c r="C146" s="60"/>
      <c r="D146" s="84" t="s">
        <v>175</v>
      </c>
      <c r="E146" s="84"/>
      <c r="F146" s="84"/>
      <c r="G146" s="84"/>
      <c r="H146" s="10" t="s">
        <v>19</v>
      </c>
      <c r="I146" s="10" t="s">
        <v>9</v>
      </c>
      <c r="J146" s="10" t="s">
        <v>8</v>
      </c>
      <c r="K146" s="19">
        <v>143212.1</v>
      </c>
      <c r="L146" s="21"/>
      <c r="M146" s="22">
        <f>K146+L146</f>
        <v>143212.1</v>
      </c>
      <c r="N146" s="33"/>
      <c r="O146" s="21">
        <f>699.8+50.5</f>
        <v>750.3</v>
      </c>
      <c r="P146" s="22">
        <f>M146+O146</f>
        <v>143962.4</v>
      </c>
      <c r="Q146" s="21">
        <f>164+500+15082.4</f>
        <v>15746.4</v>
      </c>
      <c r="R146" s="22">
        <f>P146+Q146</f>
        <v>159708.79999999999</v>
      </c>
      <c r="S146" s="40" t="s">
        <v>272</v>
      </c>
      <c r="T146" s="21">
        <f>2325.6+883.5</f>
        <v>3209.1</v>
      </c>
      <c r="U146" s="22">
        <f>R146+T146</f>
        <v>162917.9</v>
      </c>
      <c r="V146" s="40" t="s">
        <v>359</v>
      </c>
    </row>
    <row r="147" spans="1:22" ht="224.25" hidden="1" customHeight="1" outlineLevel="1" x14ac:dyDescent="0.2">
      <c r="A147" s="9"/>
      <c r="B147" s="27"/>
      <c r="C147" s="60"/>
      <c r="D147" s="84" t="s">
        <v>176</v>
      </c>
      <c r="E147" s="84"/>
      <c r="F147" s="84"/>
      <c r="G147" s="84"/>
      <c r="H147" s="10" t="s">
        <v>19</v>
      </c>
      <c r="I147" s="10" t="s">
        <v>9</v>
      </c>
      <c r="J147" s="10" t="s">
        <v>7</v>
      </c>
      <c r="K147" s="19">
        <v>67001</v>
      </c>
      <c r="L147" s="21">
        <f>1266.6+1000</f>
        <v>2266.6</v>
      </c>
      <c r="M147" s="22">
        <f>K147+L147</f>
        <v>69267.600000000006</v>
      </c>
      <c r="N147" s="35" t="s">
        <v>229</v>
      </c>
      <c r="O147" s="21">
        <f>18+16+33+10+128.6+250+70+80.3</f>
        <v>605.9</v>
      </c>
      <c r="P147" s="22">
        <f>M147+O147</f>
        <v>69873.5</v>
      </c>
      <c r="Q147" s="21">
        <f>48.5+150+65.8+15+50+8151.2</f>
        <v>8480.5</v>
      </c>
      <c r="R147" s="22">
        <f>P147+Q147</f>
        <v>78354</v>
      </c>
      <c r="S147" s="40" t="s">
        <v>300</v>
      </c>
      <c r="T147" s="21">
        <f>273.9+273.7-750+261.5+171.2</f>
        <v>230.2999999999999</v>
      </c>
      <c r="U147" s="22">
        <f>R147+T147</f>
        <v>78584.3</v>
      </c>
      <c r="V147" s="40" t="s">
        <v>366</v>
      </c>
    </row>
    <row r="148" spans="1:22" s="8" customFormat="1" ht="28.5" customHeight="1" collapsed="1" x14ac:dyDescent="0.2">
      <c r="A148" s="6"/>
      <c r="B148" s="72" t="s">
        <v>178</v>
      </c>
      <c r="C148" s="72"/>
      <c r="D148" s="72"/>
      <c r="E148" s="72"/>
      <c r="F148" s="72"/>
      <c r="G148" s="72"/>
      <c r="H148" s="11" t="s">
        <v>18</v>
      </c>
      <c r="I148" s="11" t="s">
        <v>3</v>
      </c>
      <c r="J148" s="11" t="s">
        <v>3</v>
      </c>
      <c r="K148" s="20">
        <f>K149+K152</f>
        <v>47983.6</v>
      </c>
      <c r="L148" s="20">
        <f>L149+L152</f>
        <v>1105.0999999999999</v>
      </c>
      <c r="M148" s="20">
        <f>M149+M152</f>
        <v>49088.7</v>
      </c>
      <c r="N148" s="34"/>
      <c r="O148" s="31">
        <f>O149+O152</f>
        <v>2582.8999999999996</v>
      </c>
      <c r="P148" s="31">
        <f>P149+P152</f>
        <v>51671.600000000006</v>
      </c>
      <c r="Q148" s="31">
        <f>Q149+Q152</f>
        <v>9493</v>
      </c>
      <c r="R148" s="31">
        <f>R149+R152</f>
        <v>61164.600000000006</v>
      </c>
      <c r="S148" s="45"/>
      <c r="T148" s="31">
        <f>T149+T152</f>
        <v>-34.900000000000006</v>
      </c>
      <c r="U148" s="31">
        <f>U149+U152</f>
        <v>61129.700000000004</v>
      </c>
      <c r="V148" s="45"/>
    </row>
    <row r="149" spans="1:22" ht="39" customHeight="1" x14ac:dyDescent="0.2">
      <c r="A149" s="9"/>
      <c r="B149" s="26"/>
      <c r="C149" s="84" t="s">
        <v>179</v>
      </c>
      <c r="D149" s="84"/>
      <c r="E149" s="84"/>
      <c r="F149" s="84"/>
      <c r="G149" s="84"/>
      <c r="H149" s="10" t="s">
        <v>18</v>
      </c>
      <c r="I149" s="10" t="s">
        <v>13</v>
      </c>
      <c r="J149" s="10" t="s">
        <v>3</v>
      </c>
      <c r="K149" s="19">
        <f>K150</f>
        <v>22000</v>
      </c>
      <c r="L149" s="19">
        <f>L150</f>
        <v>0</v>
      </c>
      <c r="M149" s="19">
        <f>M150</f>
        <v>22000</v>
      </c>
      <c r="N149" s="33"/>
      <c r="O149" s="21">
        <f>O150</f>
        <v>-877.3</v>
      </c>
      <c r="P149" s="21">
        <f>P150+P151</f>
        <v>21122.7</v>
      </c>
      <c r="Q149" s="21">
        <f>Q150+Q151</f>
        <v>10438.799999999999</v>
      </c>
      <c r="R149" s="21">
        <f>R150+R151</f>
        <v>31561.5</v>
      </c>
      <c r="S149" s="40" t="s">
        <v>318</v>
      </c>
      <c r="T149" s="21">
        <f>T150+T151</f>
        <v>-121</v>
      </c>
      <c r="U149" s="21">
        <f>U150+U151</f>
        <v>31440.5</v>
      </c>
      <c r="V149" s="40" t="s">
        <v>347</v>
      </c>
    </row>
    <row r="150" spans="1:22" ht="68.25" hidden="1" customHeight="1" outlineLevel="1" x14ac:dyDescent="0.2">
      <c r="A150" s="9"/>
      <c r="B150" s="27"/>
      <c r="C150" s="60"/>
      <c r="D150" s="90" t="s">
        <v>180</v>
      </c>
      <c r="E150" s="91"/>
      <c r="F150" s="91"/>
      <c r="G150" s="92"/>
      <c r="H150" s="10" t="s">
        <v>18</v>
      </c>
      <c r="I150" s="10" t="s">
        <v>13</v>
      </c>
      <c r="J150" s="10" t="s">
        <v>8</v>
      </c>
      <c r="K150" s="19">
        <v>22000</v>
      </c>
      <c r="L150" s="21"/>
      <c r="M150" s="22">
        <f>K150+L150</f>
        <v>22000</v>
      </c>
      <c r="N150" s="33"/>
      <c r="O150" s="21">
        <f>-877.3</f>
        <v>-877.3</v>
      </c>
      <c r="P150" s="22">
        <f>M150+O150</f>
        <v>21122.7</v>
      </c>
      <c r="Q150" s="21">
        <f>600-196.6-945.9</f>
        <v>-542.5</v>
      </c>
      <c r="R150" s="22">
        <f>P150+Q150</f>
        <v>20580.2</v>
      </c>
      <c r="S150" s="40" t="s">
        <v>317</v>
      </c>
      <c r="T150" s="21">
        <v>-121</v>
      </c>
      <c r="U150" s="22">
        <f>R150+T150</f>
        <v>20459.2</v>
      </c>
      <c r="V150" s="40" t="s">
        <v>347</v>
      </c>
    </row>
    <row r="151" spans="1:22" ht="65.25" hidden="1" customHeight="1" outlineLevel="1" x14ac:dyDescent="0.2">
      <c r="A151" s="9"/>
      <c r="B151" s="27"/>
      <c r="C151" s="60"/>
      <c r="D151" s="60"/>
      <c r="E151" s="61"/>
      <c r="F151" s="61"/>
      <c r="G151" s="62" t="s">
        <v>264</v>
      </c>
      <c r="H151" s="10" t="s">
        <v>18</v>
      </c>
      <c r="I151" s="10" t="s">
        <v>13</v>
      </c>
      <c r="J151" s="25" t="s">
        <v>7</v>
      </c>
      <c r="K151" s="19"/>
      <c r="L151" s="19"/>
      <c r="M151" s="23"/>
      <c r="N151" s="33"/>
      <c r="O151" s="21"/>
      <c r="P151" s="22">
        <v>0</v>
      </c>
      <c r="Q151" s="21">
        <v>10981.3</v>
      </c>
      <c r="R151" s="22">
        <f>P151+Q151</f>
        <v>10981.3</v>
      </c>
      <c r="S151" s="40" t="s">
        <v>265</v>
      </c>
      <c r="T151" s="21"/>
      <c r="U151" s="22">
        <f>R151+T151</f>
        <v>10981.3</v>
      </c>
      <c r="V151" s="40"/>
    </row>
    <row r="152" spans="1:22" ht="41.25" customHeight="1" collapsed="1" x14ac:dyDescent="0.2">
      <c r="A152" s="9"/>
      <c r="B152" s="27"/>
      <c r="C152" s="60"/>
      <c r="D152" s="60"/>
      <c r="E152" s="61"/>
      <c r="F152" s="61"/>
      <c r="G152" s="62" t="s">
        <v>211</v>
      </c>
      <c r="H152" s="10">
        <v>23</v>
      </c>
      <c r="I152" s="10">
        <v>2</v>
      </c>
      <c r="J152" s="10"/>
      <c r="K152" s="19">
        <f>K153+K154</f>
        <v>25983.599999999999</v>
      </c>
      <c r="L152" s="19">
        <f>L153+L154</f>
        <v>1105.0999999999999</v>
      </c>
      <c r="M152" s="19">
        <f>M153+M154</f>
        <v>27088.7</v>
      </c>
      <c r="N152" s="35" t="s">
        <v>241</v>
      </c>
      <c r="O152" s="21">
        <f>O153+O154</f>
        <v>3460.2</v>
      </c>
      <c r="P152" s="21">
        <f>P153+P154</f>
        <v>30548.9</v>
      </c>
      <c r="Q152" s="21">
        <f>Q153+Q154</f>
        <v>-945.79999999999984</v>
      </c>
      <c r="R152" s="21">
        <f>R153+R154</f>
        <v>29603.100000000002</v>
      </c>
      <c r="S152" s="40" t="s">
        <v>326</v>
      </c>
      <c r="T152" s="21">
        <f>T153+T154</f>
        <v>86.1</v>
      </c>
      <c r="U152" s="21">
        <f>U153+U154</f>
        <v>29689.200000000004</v>
      </c>
      <c r="V152" s="40" t="s">
        <v>369</v>
      </c>
    </row>
    <row r="153" spans="1:22" ht="49.5" hidden="1" customHeight="1" outlineLevel="1" x14ac:dyDescent="0.2">
      <c r="A153" s="9"/>
      <c r="B153" s="27"/>
      <c r="C153" s="60"/>
      <c r="D153" s="60"/>
      <c r="E153" s="61"/>
      <c r="F153" s="61"/>
      <c r="G153" s="62" t="s">
        <v>212</v>
      </c>
      <c r="H153" s="10">
        <v>23</v>
      </c>
      <c r="I153" s="10">
        <v>2</v>
      </c>
      <c r="J153" s="25" t="s">
        <v>8</v>
      </c>
      <c r="K153" s="19">
        <v>9840</v>
      </c>
      <c r="L153" s="21">
        <v>1105</v>
      </c>
      <c r="M153" s="22">
        <f>K153+L153</f>
        <v>10945</v>
      </c>
      <c r="N153" s="35" t="s">
        <v>219</v>
      </c>
      <c r="O153" s="21">
        <f>2568.5-519.6+1122.8+288.5</f>
        <v>3460.2</v>
      </c>
      <c r="P153" s="22">
        <f>M153+O153</f>
        <v>14405.2</v>
      </c>
      <c r="Q153" s="21">
        <f>1197.5+1761.4-4088.5-12.8+196.6</f>
        <v>-945.79999999999984</v>
      </c>
      <c r="R153" s="22">
        <f>P153+Q153</f>
        <v>13459.400000000001</v>
      </c>
      <c r="S153" s="40" t="s">
        <v>286</v>
      </c>
      <c r="T153" s="21">
        <v>86.1</v>
      </c>
      <c r="U153" s="22">
        <f>R153+T153</f>
        <v>13545.500000000002</v>
      </c>
      <c r="V153" s="40" t="s">
        <v>369</v>
      </c>
    </row>
    <row r="154" spans="1:22" ht="27.75" hidden="1" customHeight="1" outlineLevel="1" x14ac:dyDescent="0.2">
      <c r="A154" s="9"/>
      <c r="B154" s="27"/>
      <c r="C154" s="60"/>
      <c r="D154" s="84" t="s">
        <v>181</v>
      </c>
      <c r="E154" s="84"/>
      <c r="F154" s="84"/>
      <c r="G154" s="84"/>
      <c r="H154" s="10" t="s">
        <v>18</v>
      </c>
      <c r="I154" s="10" t="s">
        <v>9</v>
      </c>
      <c r="J154" s="10" t="s">
        <v>17</v>
      </c>
      <c r="K154" s="19">
        <v>16143.6</v>
      </c>
      <c r="L154" s="21">
        <f>0.1</f>
        <v>0.1</v>
      </c>
      <c r="M154" s="22">
        <f>K154+L154</f>
        <v>16143.7</v>
      </c>
      <c r="N154" s="35" t="s">
        <v>240</v>
      </c>
      <c r="O154" s="21"/>
      <c r="P154" s="22">
        <f>M154+O154</f>
        <v>16143.7</v>
      </c>
      <c r="Q154" s="21"/>
      <c r="R154" s="22">
        <f>P154+Q154</f>
        <v>16143.7</v>
      </c>
      <c r="S154" s="44"/>
      <c r="T154" s="21"/>
      <c r="U154" s="22">
        <f>R154+T154</f>
        <v>16143.7</v>
      </c>
      <c r="V154" s="44"/>
    </row>
    <row r="155" spans="1:22" s="8" customFormat="1" ht="25.5" customHeight="1" collapsed="1" x14ac:dyDescent="0.2">
      <c r="A155" s="6"/>
      <c r="B155" s="72" t="s">
        <v>182</v>
      </c>
      <c r="C155" s="72"/>
      <c r="D155" s="72"/>
      <c r="E155" s="72"/>
      <c r="F155" s="72"/>
      <c r="G155" s="72"/>
      <c r="H155" s="11" t="s">
        <v>16</v>
      </c>
      <c r="I155" s="11" t="s">
        <v>3</v>
      </c>
      <c r="J155" s="11" t="s">
        <v>3</v>
      </c>
      <c r="K155" s="20">
        <f>K156+K158+K160</f>
        <v>71783.5</v>
      </c>
      <c r="L155" s="20">
        <f>L156+L158+L160</f>
        <v>690</v>
      </c>
      <c r="M155" s="20">
        <f>M156+M158+M160</f>
        <v>72473.5</v>
      </c>
      <c r="N155" s="34"/>
      <c r="O155" s="31">
        <f>O156+O158+O160</f>
        <v>2378.6</v>
      </c>
      <c r="P155" s="31">
        <f>P156+P158+P160</f>
        <v>74852.099999999991</v>
      </c>
      <c r="Q155" s="31">
        <f>Q156+Q158+Q160</f>
        <v>6580.7000000000007</v>
      </c>
      <c r="R155" s="31">
        <f>R156+R158+R160</f>
        <v>81432.800000000003</v>
      </c>
      <c r="S155" s="45"/>
      <c r="T155" s="31">
        <f>T156+T158+T160</f>
        <v>-12.1</v>
      </c>
      <c r="U155" s="31">
        <f>U156+U158+U160</f>
        <v>81420.7</v>
      </c>
      <c r="V155" s="45"/>
    </row>
    <row r="156" spans="1:22" ht="27.75" customHeight="1" x14ac:dyDescent="0.2">
      <c r="A156" s="9"/>
      <c r="B156" s="26"/>
      <c r="C156" s="84" t="s">
        <v>183</v>
      </c>
      <c r="D156" s="84"/>
      <c r="E156" s="84"/>
      <c r="F156" s="84"/>
      <c r="G156" s="84"/>
      <c r="H156" s="10" t="s">
        <v>16</v>
      </c>
      <c r="I156" s="10" t="s">
        <v>13</v>
      </c>
      <c r="J156" s="10" t="s">
        <v>3</v>
      </c>
      <c r="K156" s="19">
        <f>K157</f>
        <v>883</v>
      </c>
      <c r="L156" s="19">
        <f t="shared" ref="L156:U156" si="33">L157</f>
        <v>0</v>
      </c>
      <c r="M156" s="19">
        <f t="shared" si="33"/>
        <v>883</v>
      </c>
      <c r="N156" s="33"/>
      <c r="O156" s="21">
        <f t="shared" si="33"/>
        <v>0</v>
      </c>
      <c r="P156" s="21">
        <f t="shared" si="33"/>
        <v>883</v>
      </c>
      <c r="Q156" s="21">
        <f t="shared" si="33"/>
        <v>0</v>
      </c>
      <c r="R156" s="21">
        <f t="shared" si="33"/>
        <v>883</v>
      </c>
      <c r="S156" s="44"/>
      <c r="T156" s="21">
        <f t="shared" si="33"/>
        <v>0</v>
      </c>
      <c r="U156" s="21">
        <f t="shared" si="33"/>
        <v>883</v>
      </c>
      <c r="V156" s="44"/>
    </row>
    <row r="157" spans="1:22" ht="39" hidden="1" customHeight="1" outlineLevel="1" x14ac:dyDescent="0.2">
      <c r="A157" s="9"/>
      <c r="B157" s="27"/>
      <c r="C157" s="60"/>
      <c r="D157" s="84" t="s">
        <v>184</v>
      </c>
      <c r="E157" s="84"/>
      <c r="F157" s="84"/>
      <c r="G157" s="84"/>
      <c r="H157" s="10" t="s">
        <v>16</v>
      </c>
      <c r="I157" s="10" t="s">
        <v>13</v>
      </c>
      <c r="J157" s="10" t="s">
        <v>8</v>
      </c>
      <c r="K157" s="19">
        <v>883</v>
      </c>
      <c r="L157" s="21"/>
      <c r="M157" s="22">
        <f>K157+L157</f>
        <v>883</v>
      </c>
      <c r="N157" s="33"/>
      <c r="O157" s="21"/>
      <c r="P157" s="22">
        <f>M157+O157</f>
        <v>883</v>
      </c>
      <c r="Q157" s="21"/>
      <c r="R157" s="22">
        <f>P157+Q157</f>
        <v>883</v>
      </c>
      <c r="S157" s="44"/>
      <c r="T157" s="21"/>
      <c r="U157" s="22">
        <f>R157+T157</f>
        <v>883</v>
      </c>
      <c r="V157" s="44"/>
    </row>
    <row r="158" spans="1:22" ht="33" customHeight="1" collapsed="1" x14ac:dyDescent="0.2">
      <c r="A158" s="9"/>
      <c r="B158" s="26"/>
      <c r="C158" s="84" t="s">
        <v>186</v>
      </c>
      <c r="D158" s="84"/>
      <c r="E158" s="84"/>
      <c r="F158" s="84"/>
      <c r="G158" s="84"/>
      <c r="H158" s="10" t="s">
        <v>16</v>
      </c>
      <c r="I158" s="10" t="s">
        <v>9</v>
      </c>
      <c r="J158" s="10" t="s">
        <v>3</v>
      </c>
      <c r="K158" s="19">
        <f>K159</f>
        <v>55800.7</v>
      </c>
      <c r="L158" s="19">
        <f t="shared" ref="L158:U158" si="34">L159</f>
        <v>690</v>
      </c>
      <c r="M158" s="19">
        <f t="shared" si="34"/>
        <v>56490.7</v>
      </c>
      <c r="N158" s="35" t="s">
        <v>407</v>
      </c>
      <c r="O158" s="21">
        <f t="shared" si="34"/>
        <v>2378.6</v>
      </c>
      <c r="P158" s="21">
        <f t="shared" si="34"/>
        <v>58869.299999999996</v>
      </c>
      <c r="Q158" s="21">
        <f t="shared" si="34"/>
        <v>3508.8</v>
      </c>
      <c r="R158" s="21">
        <f t="shared" si="34"/>
        <v>62378.1</v>
      </c>
      <c r="S158" s="49" t="s">
        <v>408</v>
      </c>
      <c r="T158" s="21">
        <f t="shared" si="34"/>
        <v>0</v>
      </c>
      <c r="U158" s="21">
        <f t="shared" si="34"/>
        <v>62378.1</v>
      </c>
      <c r="V158" s="49"/>
    </row>
    <row r="159" spans="1:22" ht="65.25" hidden="1" customHeight="1" outlineLevel="1" x14ac:dyDescent="0.2">
      <c r="A159" s="9"/>
      <c r="B159" s="27"/>
      <c r="C159" s="60"/>
      <c r="D159" s="84" t="s">
        <v>185</v>
      </c>
      <c r="E159" s="84"/>
      <c r="F159" s="84"/>
      <c r="G159" s="84"/>
      <c r="H159" s="10" t="s">
        <v>16</v>
      </c>
      <c r="I159" s="10" t="s">
        <v>9</v>
      </c>
      <c r="J159" s="10" t="s">
        <v>8</v>
      </c>
      <c r="K159" s="19">
        <v>55800.7</v>
      </c>
      <c r="L159" s="21">
        <v>690</v>
      </c>
      <c r="M159" s="22">
        <f>K159+L159</f>
        <v>56490.7</v>
      </c>
      <c r="N159" s="35" t="s">
        <v>409</v>
      </c>
      <c r="O159" s="21">
        <f>1813.9+557.8+6.9</f>
        <v>2378.6</v>
      </c>
      <c r="P159" s="22">
        <f>M159+O159</f>
        <v>58869.299999999996</v>
      </c>
      <c r="Q159" s="21">
        <f>3164.4+344.4</f>
        <v>3508.8</v>
      </c>
      <c r="R159" s="22">
        <f>P159+Q159</f>
        <v>62378.1</v>
      </c>
      <c r="S159" s="49" t="s">
        <v>410</v>
      </c>
      <c r="T159" s="21"/>
      <c r="U159" s="22">
        <f>R159+T159</f>
        <v>62378.1</v>
      </c>
      <c r="V159" s="49"/>
    </row>
    <row r="160" spans="1:22" ht="50.25" customHeight="1" collapsed="1" x14ac:dyDescent="0.2">
      <c r="A160" s="9"/>
      <c r="B160" s="26"/>
      <c r="C160" s="84" t="s">
        <v>188</v>
      </c>
      <c r="D160" s="84"/>
      <c r="E160" s="84"/>
      <c r="F160" s="84"/>
      <c r="G160" s="84"/>
      <c r="H160" s="10" t="s">
        <v>16</v>
      </c>
      <c r="I160" s="10" t="s">
        <v>15</v>
      </c>
      <c r="J160" s="10" t="s">
        <v>3</v>
      </c>
      <c r="K160" s="19">
        <f>K161</f>
        <v>15099.8</v>
      </c>
      <c r="L160" s="19">
        <f t="shared" ref="L160:U160" si="35">L161</f>
        <v>0</v>
      </c>
      <c r="M160" s="19">
        <f t="shared" si="35"/>
        <v>15099.8</v>
      </c>
      <c r="N160" s="33"/>
      <c r="O160" s="21">
        <f t="shared" si="35"/>
        <v>0</v>
      </c>
      <c r="P160" s="21">
        <f t="shared" si="35"/>
        <v>15099.8</v>
      </c>
      <c r="Q160" s="21">
        <f t="shared" si="35"/>
        <v>3071.9</v>
      </c>
      <c r="R160" s="21">
        <f t="shared" si="35"/>
        <v>18171.7</v>
      </c>
      <c r="S160" s="56" t="s">
        <v>275</v>
      </c>
      <c r="T160" s="21">
        <f t="shared" si="35"/>
        <v>-12.1</v>
      </c>
      <c r="U160" s="21">
        <f t="shared" si="35"/>
        <v>18159.600000000002</v>
      </c>
      <c r="V160" s="46" t="s">
        <v>348</v>
      </c>
    </row>
    <row r="161" spans="1:22" ht="53.25" hidden="1" customHeight="1" outlineLevel="1" x14ac:dyDescent="0.2">
      <c r="A161" s="9"/>
      <c r="B161" s="27"/>
      <c r="C161" s="60"/>
      <c r="D161" s="84" t="s">
        <v>187</v>
      </c>
      <c r="E161" s="84"/>
      <c r="F161" s="84"/>
      <c r="G161" s="84"/>
      <c r="H161" s="10" t="s">
        <v>16</v>
      </c>
      <c r="I161" s="10" t="s">
        <v>15</v>
      </c>
      <c r="J161" s="10" t="s">
        <v>8</v>
      </c>
      <c r="K161" s="19">
        <v>15099.8</v>
      </c>
      <c r="L161" s="21"/>
      <c r="M161" s="22">
        <f>K161+L161</f>
        <v>15099.8</v>
      </c>
      <c r="N161" s="33"/>
      <c r="O161" s="21"/>
      <c r="P161" s="22">
        <f>M161+O161</f>
        <v>15099.8</v>
      </c>
      <c r="Q161" s="21">
        <v>3071.9</v>
      </c>
      <c r="R161" s="22">
        <f>P161+Q161</f>
        <v>18171.7</v>
      </c>
      <c r="S161" s="56" t="s">
        <v>275</v>
      </c>
      <c r="T161" s="21">
        <v>-12.1</v>
      </c>
      <c r="U161" s="22">
        <f>R161+T161</f>
        <v>18159.600000000002</v>
      </c>
      <c r="V161" s="46" t="s">
        <v>348</v>
      </c>
    </row>
    <row r="162" spans="1:22" s="8" customFormat="1" ht="26.25" customHeight="1" collapsed="1" x14ac:dyDescent="0.2">
      <c r="A162" s="6"/>
      <c r="B162" s="72" t="s">
        <v>189</v>
      </c>
      <c r="C162" s="72"/>
      <c r="D162" s="72"/>
      <c r="E162" s="72"/>
      <c r="F162" s="72"/>
      <c r="G162" s="72"/>
      <c r="H162" s="11" t="s">
        <v>10</v>
      </c>
      <c r="I162" s="11" t="s">
        <v>3</v>
      </c>
      <c r="J162" s="11" t="s">
        <v>3</v>
      </c>
      <c r="K162" s="20">
        <f>K163+K174</f>
        <v>3083987.9</v>
      </c>
      <c r="L162" s="20">
        <f>L163+L174</f>
        <v>11976</v>
      </c>
      <c r="M162" s="20">
        <f>K162+L162</f>
        <v>3095963.9</v>
      </c>
      <c r="N162" s="34"/>
      <c r="O162" s="31">
        <f>O163+O174</f>
        <v>190505.4</v>
      </c>
      <c r="P162" s="31">
        <f>P163+P174</f>
        <v>3286469.3</v>
      </c>
      <c r="Q162" s="31">
        <f>Q163+Q174</f>
        <v>85930.3</v>
      </c>
      <c r="R162" s="31">
        <f>R163+R174</f>
        <v>3372399.6</v>
      </c>
      <c r="S162" s="45"/>
      <c r="T162" s="31">
        <f>T163+T174</f>
        <v>-25271.7</v>
      </c>
      <c r="U162" s="31">
        <f>U163+U174</f>
        <v>3347127.9</v>
      </c>
      <c r="V162" s="45"/>
    </row>
    <row r="163" spans="1:22" ht="363" customHeight="1" x14ac:dyDescent="0.2">
      <c r="A163" s="9"/>
      <c r="B163" s="26"/>
      <c r="C163" s="84" t="s">
        <v>191</v>
      </c>
      <c r="D163" s="84"/>
      <c r="E163" s="84"/>
      <c r="F163" s="84"/>
      <c r="G163" s="84"/>
      <c r="H163" s="10" t="s">
        <v>10</v>
      </c>
      <c r="I163" s="10" t="s">
        <v>13</v>
      </c>
      <c r="J163" s="10" t="s">
        <v>3</v>
      </c>
      <c r="K163" s="19">
        <f>K164+K165+K166+K167+K168+K169+K170+K171+K173</f>
        <v>2975815.1999999997</v>
      </c>
      <c r="L163" s="19">
        <f>L164+L165+L166+L167+L168+L169+L170+L171+L173+L172</f>
        <v>11297.1</v>
      </c>
      <c r="M163" s="19">
        <f>M164+M165+M166+M167+M168+M169+M170+M171+M173+M172</f>
        <v>2987112.3000000003</v>
      </c>
      <c r="N163" s="35" t="s">
        <v>411</v>
      </c>
      <c r="O163" s="21">
        <f>O164+O165+O166+O167+O168+O169+O170+O171+O173+O172</f>
        <v>172879.1</v>
      </c>
      <c r="P163" s="21">
        <f>P164+P165+P166+P167+P168+P169+P170+P171+P173+P172</f>
        <v>3159991.4</v>
      </c>
      <c r="Q163" s="21">
        <f>Q164+Q165+Q166+Q167+Q168+Q169+Q170+Q171+Q173+Q172</f>
        <v>60017.000000000007</v>
      </c>
      <c r="R163" s="21">
        <f>R164+R165+R166+R167+R168+R169+R170+R171+R173+R172</f>
        <v>3220008.4</v>
      </c>
      <c r="S163" s="54" t="s">
        <v>331</v>
      </c>
      <c r="T163" s="21">
        <f>T164+T165+T166+T167+T168+T169+T170+T171+T173+T172</f>
        <v>-29957.5</v>
      </c>
      <c r="U163" s="21">
        <f>U164+U165+U166+U167+U168+U169+U170+U171+U173+U172</f>
        <v>3190050.9</v>
      </c>
      <c r="V163" s="49" t="s">
        <v>434</v>
      </c>
    </row>
    <row r="164" spans="1:22" ht="30.75" hidden="1" customHeight="1" outlineLevel="1" x14ac:dyDescent="0.2">
      <c r="A164" s="9"/>
      <c r="B164" s="27"/>
      <c r="C164" s="60"/>
      <c r="D164" s="84" t="s">
        <v>190</v>
      </c>
      <c r="E164" s="84"/>
      <c r="F164" s="84"/>
      <c r="G164" s="84"/>
      <c r="H164" s="10" t="s">
        <v>10</v>
      </c>
      <c r="I164" s="10" t="s">
        <v>13</v>
      </c>
      <c r="J164" s="10" t="s">
        <v>8</v>
      </c>
      <c r="K164" s="19">
        <v>43384.800000000003</v>
      </c>
      <c r="L164" s="21">
        <v>163.4</v>
      </c>
      <c r="M164" s="22">
        <f t="shared" ref="M164:M173" si="36">K164+L164</f>
        <v>43548.200000000004</v>
      </c>
      <c r="N164" s="35" t="s">
        <v>220</v>
      </c>
      <c r="O164" s="21">
        <f>342.1+180+200</f>
        <v>722.1</v>
      </c>
      <c r="P164" s="22">
        <f t="shared" ref="P164:P186" si="37">M164+O164</f>
        <v>44270.3</v>
      </c>
      <c r="Q164" s="21">
        <f>386.7+30+103.1+855.5+10.3</f>
        <v>1385.6</v>
      </c>
      <c r="R164" s="22">
        <f t="shared" ref="R164:R186" si="38">P164+Q164</f>
        <v>45655.9</v>
      </c>
      <c r="S164" s="46" t="s">
        <v>328</v>
      </c>
      <c r="T164" s="21">
        <v>-121.7</v>
      </c>
      <c r="U164" s="22">
        <f t="shared" ref="U164:U173" si="39">R164+T164</f>
        <v>45534.200000000004</v>
      </c>
      <c r="V164" s="46" t="s">
        <v>349</v>
      </c>
    </row>
    <row r="165" spans="1:22" ht="139.5" hidden="1" customHeight="1" outlineLevel="1" x14ac:dyDescent="0.2">
      <c r="A165" s="9"/>
      <c r="B165" s="27"/>
      <c r="C165" s="60"/>
      <c r="D165" s="84" t="s">
        <v>193</v>
      </c>
      <c r="E165" s="84"/>
      <c r="F165" s="84"/>
      <c r="G165" s="84"/>
      <c r="H165" s="10" t="s">
        <v>10</v>
      </c>
      <c r="I165" s="10" t="s">
        <v>13</v>
      </c>
      <c r="J165" s="10" t="s">
        <v>7</v>
      </c>
      <c r="K165" s="19">
        <v>2630067.7999999998</v>
      </c>
      <c r="L165" s="21">
        <f>3547.4-678.9+571.8</f>
        <v>3440.3</v>
      </c>
      <c r="M165" s="22">
        <f t="shared" si="36"/>
        <v>2633508.0999999996</v>
      </c>
      <c r="N165" s="35" t="s">
        <v>412</v>
      </c>
      <c r="O165" s="21">
        <f>7577.6-8694.5+151959.5+11136.8-1742.9+11597.4</f>
        <v>171833.9</v>
      </c>
      <c r="P165" s="22">
        <f t="shared" si="37"/>
        <v>2805341.9999999995</v>
      </c>
      <c r="Q165" s="21">
        <f>30336.7+208.3+290.4-8142.1+4443.9+31.4+30035.1+6070.2-263.5-140</f>
        <v>62870.400000000001</v>
      </c>
      <c r="R165" s="22">
        <f t="shared" si="38"/>
        <v>2868212.3999999994</v>
      </c>
      <c r="S165" s="40" t="s">
        <v>329</v>
      </c>
      <c r="T165" s="21">
        <f>-11831.8-9001.8-1047.4-6.4</f>
        <v>-21887.4</v>
      </c>
      <c r="U165" s="22">
        <f t="shared" si="39"/>
        <v>2846324.9999999995</v>
      </c>
      <c r="V165" s="49" t="s">
        <v>424</v>
      </c>
    </row>
    <row r="166" spans="1:22" ht="48.75" hidden="1" customHeight="1" outlineLevel="1" x14ac:dyDescent="0.2">
      <c r="A166" s="9"/>
      <c r="B166" s="27"/>
      <c r="C166" s="60"/>
      <c r="D166" s="84" t="s">
        <v>192</v>
      </c>
      <c r="E166" s="84"/>
      <c r="F166" s="84"/>
      <c r="G166" s="84"/>
      <c r="H166" s="10" t="s">
        <v>10</v>
      </c>
      <c r="I166" s="10" t="s">
        <v>13</v>
      </c>
      <c r="J166" s="10" t="s">
        <v>11</v>
      </c>
      <c r="K166" s="19">
        <v>33153</v>
      </c>
      <c r="L166" s="21"/>
      <c r="M166" s="22">
        <f t="shared" si="36"/>
        <v>33153</v>
      </c>
      <c r="N166" s="33"/>
      <c r="O166" s="21"/>
      <c r="P166" s="22">
        <f t="shared" si="37"/>
        <v>33153</v>
      </c>
      <c r="Q166" s="21">
        <v>1501</v>
      </c>
      <c r="R166" s="22">
        <f t="shared" si="38"/>
        <v>34654</v>
      </c>
      <c r="S166" s="46" t="s">
        <v>268</v>
      </c>
      <c r="T166" s="21">
        <v>-500</v>
      </c>
      <c r="U166" s="22">
        <f t="shared" si="39"/>
        <v>34154</v>
      </c>
      <c r="V166" s="46" t="s">
        <v>425</v>
      </c>
    </row>
    <row r="167" spans="1:22" ht="30.75" hidden="1" customHeight="1" outlineLevel="1" x14ac:dyDescent="0.2">
      <c r="A167" s="9"/>
      <c r="B167" s="27"/>
      <c r="C167" s="60"/>
      <c r="D167" s="84" t="s">
        <v>194</v>
      </c>
      <c r="E167" s="84"/>
      <c r="F167" s="84"/>
      <c r="G167" s="84"/>
      <c r="H167" s="10" t="s">
        <v>10</v>
      </c>
      <c r="I167" s="10" t="s">
        <v>13</v>
      </c>
      <c r="J167" s="10" t="s">
        <v>6</v>
      </c>
      <c r="K167" s="19">
        <v>11714.6</v>
      </c>
      <c r="L167" s="21"/>
      <c r="M167" s="22">
        <f t="shared" si="36"/>
        <v>11714.6</v>
      </c>
      <c r="N167" s="33"/>
      <c r="O167" s="21"/>
      <c r="P167" s="22">
        <f t="shared" si="37"/>
        <v>11714.6</v>
      </c>
      <c r="Q167" s="21"/>
      <c r="R167" s="22">
        <f t="shared" si="38"/>
        <v>11714.6</v>
      </c>
      <c r="S167" s="44"/>
      <c r="T167" s="21">
        <v>197.4</v>
      </c>
      <c r="U167" s="22">
        <f t="shared" si="39"/>
        <v>11912</v>
      </c>
      <c r="V167" s="49" t="s">
        <v>356</v>
      </c>
    </row>
    <row r="168" spans="1:22" ht="36" hidden="1" customHeight="1" outlineLevel="1" x14ac:dyDescent="0.2">
      <c r="A168" s="9"/>
      <c r="B168" s="27"/>
      <c r="C168" s="60"/>
      <c r="D168" s="84" t="s">
        <v>253</v>
      </c>
      <c r="E168" s="84"/>
      <c r="F168" s="84"/>
      <c r="G168" s="84"/>
      <c r="H168" s="10" t="s">
        <v>10</v>
      </c>
      <c r="I168" s="10" t="s">
        <v>13</v>
      </c>
      <c r="J168" s="10" t="s">
        <v>5</v>
      </c>
      <c r="K168" s="19">
        <v>3197.7</v>
      </c>
      <c r="L168" s="21"/>
      <c r="M168" s="22">
        <f t="shared" si="36"/>
        <v>3197.7</v>
      </c>
      <c r="N168" s="33"/>
      <c r="O168" s="21">
        <v>220</v>
      </c>
      <c r="P168" s="22">
        <f t="shared" si="37"/>
        <v>3417.7</v>
      </c>
      <c r="Q168" s="21">
        <v>100</v>
      </c>
      <c r="R168" s="22">
        <f t="shared" si="38"/>
        <v>3517.7</v>
      </c>
      <c r="S168" s="46" t="s">
        <v>257</v>
      </c>
      <c r="T168" s="21">
        <v>110</v>
      </c>
      <c r="U168" s="22">
        <f t="shared" si="39"/>
        <v>3627.7</v>
      </c>
      <c r="V168" s="49" t="s">
        <v>357</v>
      </c>
    </row>
    <row r="169" spans="1:22" ht="36" hidden="1" customHeight="1" outlineLevel="1" x14ac:dyDescent="0.2">
      <c r="A169" s="9"/>
      <c r="B169" s="27"/>
      <c r="C169" s="60"/>
      <c r="D169" s="84" t="s">
        <v>196</v>
      </c>
      <c r="E169" s="84"/>
      <c r="F169" s="84"/>
      <c r="G169" s="84"/>
      <c r="H169" s="10" t="s">
        <v>10</v>
      </c>
      <c r="I169" s="10" t="s">
        <v>13</v>
      </c>
      <c r="J169" s="10" t="s">
        <v>4</v>
      </c>
      <c r="K169" s="19">
        <v>19061</v>
      </c>
      <c r="L169" s="21"/>
      <c r="M169" s="22">
        <f t="shared" si="36"/>
        <v>19061</v>
      </c>
      <c r="N169" s="33"/>
      <c r="O169" s="21">
        <f>78.9+24.2</f>
        <v>103.10000000000001</v>
      </c>
      <c r="P169" s="22">
        <f t="shared" si="37"/>
        <v>19164.099999999999</v>
      </c>
      <c r="Q169" s="21">
        <f>1432.4-10.3</f>
        <v>1422.1000000000001</v>
      </c>
      <c r="R169" s="22">
        <f t="shared" si="38"/>
        <v>20586.199999999997</v>
      </c>
      <c r="S169" s="46" t="s">
        <v>327</v>
      </c>
      <c r="T169" s="21">
        <v>191.8</v>
      </c>
      <c r="U169" s="22">
        <f t="shared" si="39"/>
        <v>20777.999999999996</v>
      </c>
      <c r="V169" s="49" t="s">
        <v>358</v>
      </c>
    </row>
    <row r="170" spans="1:22" ht="56.25" hidden="1" customHeight="1" outlineLevel="1" x14ac:dyDescent="0.2">
      <c r="A170" s="9"/>
      <c r="B170" s="27"/>
      <c r="C170" s="60"/>
      <c r="D170" s="84" t="s">
        <v>195</v>
      </c>
      <c r="E170" s="84"/>
      <c r="F170" s="84"/>
      <c r="G170" s="84"/>
      <c r="H170" s="10" t="s">
        <v>10</v>
      </c>
      <c r="I170" s="10" t="s">
        <v>13</v>
      </c>
      <c r="J170" s="10" t="s">
        <v>0</v>
      </c>
      <c r="K170" s="19">
        <v>190468.8</v>
      </c>
      <c r="L170" s="21"/>
      <c r="M170" s="22">
        <f t="shared" si="36"/>
        <v>190468.8</v>
      </c>
      <c r="N170" s="33"/>
      <c r="O170" s="21"/>
      <c r="P170" s="22">
        <f t="shared" si="37"/>
        <v>190468.8</v>
      </c>
      <c r="Q170" s="21">
        <v>-9889.7000000000007</v>
      </c>
      <c r="R170" s="22">
        <f t="shared" si="38"/>
        <v>180579.09999999998</v>
      </c>
      <c r="S170" s="46" t="s">
        <v>267</v>
      </c>
      <c r="T170" s="21">
        <f>-7647.7-299.9</f>
        <v>-7947.5999999999995</v>
      </c>
      <c r="U170" s="22">
        <f t="shared" si="39"/>
        <v>172631.49999999997</v>
      </c>
      <c r="V170" s="46" t="s">
        <v>426</v>
      </c>
    </row>
    <row r="171" spans="1:22" ht="36" hidden="1" customHeight="1" outlineLevel="1" x14ac:dyDescent="0.2">
      <c r="A171" s="9"/>
      <c r="B171" s="27"/>
      <c r="C171" s="60"/>
      <c r="D171" s="84" t="s">
        <v>197</v>
      </c>
      <c r="E171" s="84"/>
      <c r="F171" s="84"/>
      <c r="G171" s="84"/>
      <c r="H171" s="10" t="s">
        <v>10</v>
      </c>
      <c r="I171" s="10" t="s">
        <v>13</v>
      </c>
      <c r="J171" s="10" t="s">
        <v>14</v>
      </c>
      <c r="K171" s="19">
        <v>42999.5</v>
      </c>
      <c r="L171" s="21">
        <f>0.2+2000</f>
        <v>2000.2</v>
      </c>
      <c r="M171" s="22">
        <f t="shared" si="36"/>
        <v>44999.7</v>
      </c>
      <c r="N171" s="38" t="s">
        <v>231</v>
      </c>
      <c r="O171" s="21"/>
      <c r="P171" s="22">
        <f t="shared" si="37"/>
        <v>44999.7</v>
      </c>
      <c r="Q171" s="21">
        <f>2627.6</f>
        <v>2627.6</v>
      </c>
      <c r="R171" s="22">
        <f t="shared" si="38"/>
        <v>47627.299999999996</v>
      </c>
      <c r="S171" s="46" t="s">
        <v>270</v>
      </c>
      <c r="T171" s="21"/>
      <c r="U171" s="22">
        <f t="shared" si="39"/>
        <v>47627.299999999996</v>
      </c>
      <c r="V171" s="46"/>
    </row>
    <row r="172" spans="1:22" ht="31.5" hidden="1" customHeight="1" outlineLevel="1" x14ac:dyDescent="0.2">
      <c r="A172" s="9"/>
      <c r="B172" s="27"/>
      <c r="C172" s="60"/>
      <c r="D172" s="59"/>
      <c r="E172" s="59"/>
      <c r="F172" s="59"/>
      <c r="G172" s="59" t="s">
        <v>239</v>
      </c>
      <c r="H172" s="10">
        <v>25</v>
      </c>
      <c r="I172" s="10">
        <v>1</v>
      </c>
      <c r="J172" s="10">
        <v>9</v>
      </c>
      <c r="K172" s="19">
        <v>0</v>
      </c>
      <c r="L172" s="21">
        <v>5693.2</v>
      </c>
      <c r="M172" s="22">
        <f t="shared" si="36"/>
        <v>5693.2</v>
      </c>
      <c r="N172" s="38" t="s">
        <v>246</v>
      </c>
      <c r="O172" s="21"/>
      <c r="P172" s="22">
        <f t="shared" si="37"/>
        <v>5693.2</v>
      </c>
      <c r="Q172" s="21"/>
      <c r="R172" s="22">
        <f t="shared" si="38"/>
        <v>5693.2</v>
      </c>
      <c r="S172" s="44"/>
      <c r="T172" s="21"/>
      <c r="U172" s="22">
        <f t="shared" si="39"/>
        <v>5693.2</v>
      </c>
      <c r="V172" s="44"/>
    </row>
    <row r="173" spans="1:22" ht="23.25" hidden="1" customHeight="1" outlineLevel="1" x14ac:dyDescent="0.2">
      <c r="A173" s="9"/>
      <c r="B173" s="27"/>
      <c r="C173" s="60"/>
      <c r="D173" s="84" t="s">
        <v>198</v>
      </c>
      <c r="E173" s="84"/>
      <c r="F173" s="84"/>
      <c r="G173" s="84"/>
      <c r="H173" s="10" t="s">
        <v>10</v>
      </c>
      <c r="I173" s="10" t="s">
        <v>13</v>
      </c>
      <c r="J173" s="10" t="s">
        <v>12</v>
      </c>
      <c r="K173" s="19">
        <v>1768</v>
      </c>
      <c r="L173" s="21"/>
      <c r="M173" s="22">
        <f t="shared" si="36"/>
        <v>1768</v>
      </c>
      <c r="N173" s="33"/>
      <c r="O173" s="21"/>
      <c r="P173" s="22">
        <f t="shared" si="37"/>
        <v>1768</v>
      </c>
      <c r="Q173" s="21"/>
      <c r="R173" s="22">
        <f t="shared" si="38"/>
        <v>1768</v>
      </c>
      <c r="S173" s="44"/>
      <c r="T173" s="21"/>
      <c r="U173" s="22">
        <f t="shared" si="39"/>
        <v>1768</v>
      </c>
      <c r="V173" s="44"/>
    </row>
    <row r="174" spans="1:22" ht="36" customHeight="1" collapsed="1" x14ac:dyDescent="0.2">
      <c r="A174" s="9"/>
      <c r="B174" s="26"/>
      <c r="C174" s="84" t="s">
        <v>200</v>
      </c>
      <c r="D174" s="84"/>
      <c r="E174" s="84"/>
      <c r="F174" s="84"/>
      <c r="G174" s="84"/>
      <c r="H174" s="10" t="s">
        <v>10</v>
      </c>
      <c r="I174" s="10" t="s">
        <v>9</v>
      </c>
      <c r="J174" s="10" t="s">
        <v>3</v>
      </c>
      <c r="K174" s="19">
        <f>K175+K176+K177+K178+K179</f>
        <v>108172.7</v>
      </c>
      <c r="L174" s="19">
        <f>L175+L176+L177+L178+L179</f>
        <v>678.9</v>
      </c>
      <c r="M174" s="19">
        <f>M175+M176+M177+M178+M179</f>
        <v>108851.59999999999</v>
      </c>
      <c r="N174" s="35" t="s">
        <v>413</v>
      </c>
      <c r="O174" s="21">
        <f>O175+O176+O177+O178+O179</f>
        <v>17626.3</v>
      </c>
      <c r="P174" s="21">
        <f>P175+P176+P177+P178+P179</f>
        <v>126477.9</v>
      </c>
      <c r="Q174" s="21">
        <f>Q175+Q176+Q177+Q178+Q179</f>
        <v>25913.3</v>
      </c>
      <c r="R174" s="21">
        <f>R175+R176+R177+R178+R179</f>
        <v>152391.19999999998</v>
      </c>
      <c r="S174" s="46" t="s">
        <v>332</v>
      </c>
      <c r="T174" s="21">
        <f>T175+T176+T177+T178+T179</f>
        <v>4685.8</v>
      </c>
      <c r="U174" s="21">
        <f>U175+U176+U177+U178+U179</f>
        <v>157077</v>
      </c>
      <c r="V174" s="49" t="s">
        <v>355</v>
      </c>
    </row>
    <row r="175" spans="1:22" ht="36" hidden="1" customHeight="1" outlineLevel="1" x14ac:dyDescent="0.2">
      <c r="A175" s="9"/>
      <c r="B175" s="27"/>
      <c r="C175" s="60"/>
      <c r="D175" s="84" t="s">
        <v>199</v>
      </c>
      <c r="E175" s="84"/>
      <c r="F175" s="84"/>
      <c r="G175" s="84"/>
      <c r="H175" s="10" t="s">
        <v>10</v>
      </c>
      <c r="I175" s="10" t="s">
        <v>9</v>
      </c>
      <c r="J175" s="10" t="s">
        <v>8</v>
      </c>
      <c r="K175" s="19">
        <v>22441.8</v>
      </c>
      <c r="L175" s="21">
        <f>-406.4+678.9</f>
        <v>272.5</v>
      </c>
      <c r="M175" s="22">
        <f>K175+L175</f>
        <v>22714.3</v>
      </c>
      <c r="N175" s="35" t="s">
        <v>414</v>
      </c>
      <c r="O175" s="21">
        <f>5658.5+1542.9+7788.9</f>
        <v>14990.3</v>
      </c>
      <c r="P175" s="22">
        <f t="shared" si="37"/>
        <v>37704.6</v>
      </c>
      <c r="Q175" s="21">
        <f>7761.6+370.5</f>
        <v>8132.1</v>
      </c>
      <c r="R175" s="22">
        <f t="shared" si="38"/>
        <v>45836.7</v>
      </c>
      <c r="S175" s="46" t="s">
        <v>330</v>
      </c>
      <c r="T175" s="21">
        <f>2304.5-347.9</f>
        <v>1956.6</v>
      </c>
      <c r="U175" s="22">
        <f>R175+T175</f>
        <v>47793.299999999996</v>
      </c>
      <c r="V175" s="46" t="s">
        <v>422</v>
      </c>
    </row>
    <row r="176" spans="1:22" ht="45.75" hidden="1" customHeight="1" outlineLevel="1" x14ac:dyDescent="0.2">
      <c r="A176" s="9"/>
      <c r="B176" s="27"/>
      <c r="C176" s="60"/>
      <c r="D176" s="84" t="s">
        <v>201</v>
      </c>
      <c r="E176" s="84"/>
      <c r="F176" s="84"/>
      <c r="G176" s="84"/>
      <c r="H176" s="10" t="s">
        <v>10</v>
      </c>
      <c r="I176" s="10" t="s">
        <v>9</v>
      </c>
      <c r="J176" s="10" t="s">
        <v>7</v>
      </c>
      <c r="K176" s="19">
        <v>3217.2</v>
      </c>
      <c r="L176" s="21"/>
      <c r="M176" s="22">
        <f>K176+L176</f>
        <v>3217.2</v>
      </c>
      <c r="N176" s="33"/>
      <c r="O176" s="21">
        <v>560</v>
      </c>
      <c r="P176" s="22">
        <f t="shared" si="37"/>
        <v>3777.2</v>
      </c>
      <c r="Q176" s="21">
        <v>-31.4</v>
      </c>
      <c r="R176" s="22">
        <f t="shared" si="38"/>
        <v>3745.7999999999997</v>
      </c>
      <c r="S176" s="49" t="s">
        <v>301</v>
      </c>
      <c r="T176" s="21"/>
      <c r="U176" s="22">
        <f>R176+T176</f>
        <v>3745.7999999999997</v>
      </c>
      <c r="V176" s="49"/>
    </row>
    <row r="177" spans="1:22" ht="45.75" hidden="1" customHeight="1" outlineLevel="1" x14ac:dyDescent="0.2">
      <c r="A177" s="9"/>
      <c r="B177" s="27"/>
      <c r="C177" s="60"/>
      <c r="D177" s="84" t="s">
        <v>202</v>
      </c>
      <c r="E177" s="84"/>
      <c r="F177" s="84"/>
      <c r="G177" s="84"/>
      <c r="H177" s="10" t="s">
        <v>10</v>
      </c>
      <c r="I177" s="10" t="s">
        <v>9</v>
      </c>
      <c r="J177" s="10" t="s">
        <v>11</v>
      </c>
      <c r="K177" s="19">
        <v>1739.3</v>
      </c>
      <c r="L177" s="21"/>
      <c r="M177" s="22">
        <f>K177+L177</f>
        <v>1739.3</v>
      </c>
      <c r="N177" s="33"/>
      <c r="O177" s="21">
        <v>2076</v>
      </c>
      <c r="P177" s="22">
        <f t="shared" si="37"/>
        <v>3815.3</v>
      </c>
      <c r="Q177" s="21">
        <f>250.5+17529.1-200.5+233.5</f>
        <v>17812.599999999999</v>
      </c>
      <c r="R177" s="22">
        <f t="shared" si="38"/>
        <v>21627.899999999998</v>
      </c>
      <c r="S177" s="46" t="s">
        <v>415</v>
      </c>
      <c r="T177" s="21">
        <f>2381.3+347.9</f>
        <v>2729.2000000000003</v>
      </c>
      <c r="U177" s="22">
        <f>R177+T177</f>
        <v>24357.1</v>
      </c>
      <c r="V177" s="46" t="s">
        <v>423</v>
      </c>
    </row>
    <row r="178" spans="1:22" ht="21.75" hidden="1" customHeight="1" outlineLevel="1" x14ac:dyDescent="0.2">
      <c r="A178" s="9"/>
      <c r="B178" s="27"/>
      <c r="C178" s="60"/>
      <c r="D178" s="84" t="s">
        <v>203</v>
      </c>
      <c r="E178" s="84"/>
      <c r="F178" s="84"/>
      <c r="G178" s="84"/>
      <c r="H178" s="10" t="s">
        <v>10</v>
      </c>
      <c r="I178" s="10" t="s">
        <v>9</v>
      </c>
      <c r="J178" s="10" t="s">
        <v>5</v>
      </c>
      <c r="K178" s="19">
        <v>347.9</v>
      </c>
      <c r="L178" s="21"/>
      <c r="M178" s="22">
        <f>K178+L178</f>
        <v>347.9</v>
      </c>
      <c r="N178" s="33"/>
      <c r="O178" s="21"/>
      <c r="P178" s="22">
        <f t="shared" si="37"/>
        <v>347.9</v>
      </c>
      <c r="Q178" s="21"/>
      <c r="R178" s="22">
        <f t="shared" si="38"/>
        <v>347.9</v>
      </c>
      <c r="S178" s="44"/>
      <c r="T178" s="21"/>
      <c r="U178" s="22">
        <f>R178+T178</f>
        <v>347.9</v>
      </c>
      <c r="V178" s="44"/>
    </row>
    <row r="179" spans="1:22" ht="48" hidden="1" customHeight="1" outlineLevel="1" x14ac:dyDescent="0.2">
      <c r="A179" s="9"/>
      <c r="B179" s="27"/>
      <c r="C179" s="60"/>
      <c r="D179" s="84" t="s">
        <v>204</v>
      </c>
      <c r="E179" s="84"/>
      <c r="F179" s="84"/>
      <c r="G179" s="84"/>
      <c r="H179" s="10" t="s">
        <v>10</v>
      </c>
      <c r="I179" s="10" t="s">
        <v>9</v>
      </c>
      <c r="J179" s="10" t="s">
        <v>4</v>
      </c>
      <c r="K179" s="19">
        <v>80426.5</v>
      </c>
      <c r="L179" s="21">
        <v>406.4</v>
      </c>
      <c r="M179" s="22">
        <f>K179+L179</f>
        <v>80832.899999999994</v>
      </c>
      <c r="N179" s="35" t="s">
        <v>416</v>
      </c>
      <c r="O179" s="21"/>
      <c r="P179" s="22">
        <f t="shared" si="37"/>
        <v>80832.899999999994</v>
      </c>
      <c r="Q179" s="21"/>
      <c r="R179" s="22">
        <f t="shared" si="38"/>
        <v>80832.899999999994</v>
      </c>
      <c r="S179" s="46"/>
      <c r="T179" s="21"/>
      <c r="U179" s="22">
        <f>R179+T179</f>
        <v>80832.899999999994</v>
      </c>
      <c r="V179" s="46"/>
    </row>
    <row r="180" spans="1:22" s="8" customFormat="1" ht="240.75" customHeight="1" collapsed="1" x14ac:dyDescent="0.2">
      <c r="A180" s="6"/>
      <c r="B180" s="72" t="s">
        <v>206</v>
      </c>
      <c r="C180" s="72"/>
      <c r="D180" s="72"/>
      <c r="E180" s="72"/>
      <c r="F180" s="72"/>
      <c r="G180" s="72"/>
      <c r="H180" s="11" t="s">
        <v>2</v>
      </c>
      <c r="I180" s="11" t="s">
        <v>3</v>
      </c>
      <c r="J180" s="11" t="s">
        <v>3</v>
      </c>
      <c r="K180" s="20">
        <f>K181+K182+K183+K184+K185+K186</f>
        <v>48080.6</v>
      </c>
      <c r="L180" s="20">
        <f>L181+L182+L183+L184+L185+L186</f>
        <v>14424.799999999996</v>
      </c>
      <c r="M180" s="20">
        <f>M181+M182+M183+M184+M185+M186</f>
        <v>62505.399999999994</v>
      </c>
      <c r="N180" s="35" t="s">
        <v>250</v>
      </c>
      <c r="O180" s="31">
        <f>O181+O182+O183+O184+O185+O186</f>
        <v>4493.3</v>
      </c>
      <c r="P180" s="31">
        <f>P181+P182+P183+P184+P185+P186</f>
        <v>66998.7</v>
      </c>
      <c r="Q180" s="31">
        <f>Q181+Q182+Q183+Q184+Q185+Q186</f>
        <v>40621.300000000003</v>
      </c>
      <c r="R180" s="31">
        <f>R181+R182+R183+R184+R185+R186</f>
        <v>107620</v>
      </c>
      <c r="S180" s="46" t="s">
        <v>302</v>
      </c>
      <c r="T180" s="31">
        <f>T181+T182+T183+T184+T185+T186</f>
        <v>21770.2</v>
      </c>
      <c r="U180" s="31">
        <f>U181+U182+U183+U184+U185+U186</f>
        <v>129390.2</v>
      </c>
      <c r="V180" s="46" t="s">
        <v>436</v>
      </c>
    </row>
    <row r="181" spans="1:22" ht="51" hidden="1" customHeight="1" outlineLevel="1" x14ac:dyDescent="0.2">
      <c r="A181" s="9"/>
      <c r="B181" s="27"/>
      <c r="C181" s="60"/>
      <c r="D181" s="84" t="s">
        <v>205</v>
      </c>
      <c r="E181" s="84"/>
      <c r="F181" s="84"/>
      <c r="G181" s="84"/>
      <c r="H181" s="10" t="s">
        <v>2</v>
      </c>
      <c r="I181" s="10" t="s">
        <v>1</v>
      </c>
      <c r="J181" s="10" t="s">
        <v>8</v>
      </c>
      <c r="K181" s="19">
        <v>13598</v>
      </c>
      <c r="L181" s="19"/>
      <c r="M181" s="22">
        <f t="shared" ref="M181:M186" si="40">K181+L181</f>
        <v>13598</v>
      </c>
      <c r="N181" s="33"/>
      <c r="O181" s="21">
        <v>46.7</v>
      </c>
      <c r="P181" s="22">
        <f t="shared" si="37"/>
        <v>13644.7</v>
      </c>
      <c r="Q181" s="21">
        <f>70.3-1331.9</f>
        <v>-1261.6000000000001</v>
      </c>
      <c r="R181" s="22">
        <f t="shared" si="38"/>
        <v>12383.1</v>
      </c>
      <c r="S181" s="50" t="s">
        <v>303</v>
      </c>
      <c r="T181" s="21"/>
      <c r="U181" s="22">
        <f t="shared" ref="U181:U186" si="41">R181+T181</f>
        <v>12383.1</v>
      </c>
      <c r="V181" s="50"/>
    </row>
    <row r="182" spans="1:22" ht="45" hidden="1" outlineLevel="1" x14ac:dyDescent="0.2">
      <c r="A182" s="9"/>
      <c r="B182" s="27"/>
      <c r="C182" s="60"/>
      <c r="D182" s="84" t="s">
        <v>207</v>
      </c>
      <c r="E182" s="84"/>
      <c r="F182" s="84"/>
      <c r="G182" s="84"/>
      <c r="H182" s="10" t="s">
        <v>2</v>
      </c>
      <c r="I182" s="10" t="s">
        <v>1</v>
      </c>
      <c r="J182" s="10" t="s">
        <v>7</v>
      </c>
      <c r="K182" s="19">
        <v>18248.099999999999</v>
      </c>
      <c r="L182" s="21"/>
      <c r="M182" s="22">
        <f t="shared" si="40"/>
        <v>18248.099999999999</v>
      </c>
      <c r="N182" s="33"/>
      <c r="O182" s="21">
        <v>46.6</v>
      </c>
      <c r="P182" s="22">
        <f t="shared" si="37"/>
        <v>18294.699999999997</v>
      </c>
      <c r="Q182" s="21">
        <f>87.9-1650</f>
        <v>-1562.1</v>
      </c>
      <c r="R182" s="22">
        <f t="shared" si="38"/>
        <v>16732.599999999999</v>
      </c>
      <c r="S182" s="50" t="s">
        <v>304</v>
      </c>
      <c r="T182" s="21">
        <f>-435.6-224.5</f>
        <v>-660.1</v>
      </c>
      <c r="U182" s="22">
        <f t="shared" si="41"/>
        <v>16072.499999999998</v>
      </c>
      <c r="V182" s="50" t="s">
        <v>435</v>
      </c>
    </row>
    <row r="183" spans="1:22" ht="30" hidden="1" customHeight="1" outlineLevel="1" x14ac:dyDescent="0.2">
      <c r="A183" s="9"/>
      <c r="B183" s="27"/>
      <c r="C183" s="60"/>
      <c r="D183" s="84" t="s">
        <v>208</v>
      </c>
      <c r="E183" s="84"/>
      <c r="F183" s="84"/>
      <c r="G183" s="84"/>
      <c r="H183" s="10" t="s">
        <v>2</v>
      </c>
      <c r="I183" s="10" t="s">
        <v>1</v>
      </c>
      <c r="J183" s="10" t="s">
        <v>6</v>
      </c>
      <c r="K183" s="19">
        <v>1500</v>
      </c>
      <c r="L183" s="21"/>
      <c r="M183" s="22">
        <f t="shared" si="40"/>
        <v>1500</v>
      </c>
      <c r="N183" s="33"/>
      <c r="O183" s="21"/>
      <c r="P183" s="22">
        <f t="shared" si="37"/>
        <v>1500</v>
      </c>
      <c r="Q183" s="21"/>
      <c r="R183" s="22">
        <f t="shared" si="38"/>
        <v>1500</v>
      </c>
      <c r="S183" s="44"/>
      <c r="T183" s="21">
        <v>-600</v>
      </c>
      <c r="U183" s="22">
        <f t="shared" si="41"/>
        <v>900</v>
      </c>
      <c r="V183" s="50" t="s">
        <v>338</v>
      </c>
    </row>
    <row r="184" spans="1:22" ht="189" hidden="1" customHeight="1" outlineLevel="1" x14ac:dyDescent="0.2">
      <c r="A184" s="9"/>
      <c r="B184" s="27"/>
      <c r="C184" s="60"/>
      <c r="D184" s="84" t="s">
        <v>210</v>
      </c>
      <c r="E184" s="84"/>
      <c r="F184" s="84"/>
      <c r="G184" s="84"/>
      <c r="H184" s="10" t="s">
        <v>2</v>
      </c>
      <c r="I184" s="10" t="s">
        <v>1</v>
      </c>
      <c r="J184" s="10" t="s">
        <v>5</v>
      </c>
      <c r="K184" s="19">
        <v>287.5</v>
      </c>
      <c r="L184" s="21">
        <f>7522.9+324.9+1245.5+20+4601.4+50+382.3+40+1505.9+99.8+35+115.3+10</f>
        <v>15952.999999999996</v>
      </c>
      <c r="M184" s="22">
        <f t="shared" si="40"/>
        <v>16240.499999999996</v>
      </c>
      <c r="N184" s="35" t="s">
        <v>249</v>
      </c>
      <c r="O184" s="21">
        <f>75+150+50+600+80+3340+75+30</f>
        <v>4400</v>
      </c>
      <c r="P184" s="22">
        <f t="shared" si="37"/>
        <v>20640.499999999996</v>
      </c>
      <c r="Q184" s="21">
        <f>3443.3+6+37.5+98+4500+46348.2</f>
        <v>54433</v>
      </c>
      <c r="R184" s="22">
        <f t="shared" si="38"/>
        <v>75073.5</v>
      </c>
      <c r="S184" s="40" t="s">
        <v>283</v>
      </c>
      <c r="T184" s="21">
        <f>9780+37.5+15.3+12965.1+150+70.3</f>
        <v>23018.2</v>
      </c>
      <c r="U184" s="22">
        <f t="shared" si="41"/>
        <v>98091.7</v>
      </c>
      <c r="V184" s="40" t="s">
        <v>368</v>
      </c>
    </row>
    <row r="185" spans="1:22" ht="48" hidden="1" customHeight="1" outlineLevel="1" x14ac:dyDescent="0.2">
      <c r="A185" s="9"/>
      <c r="B185" s="27"/>
      <c r="C185" s="60"/>
      <c r="D185" s="84" t="s">
        <v>174</v>
      </c>
      <c r="E185" s="84"/>
      <c r="F185" s="84"/>
      <c r="G185" s="84"/>
      <c r="H185" s="10" t="s">
        <v>2</v>
      </c>
      <c r="I185" s="10" t="s">
        <v>1</v>
      </c>
      <c r="J185" s="10" t="s">
        <v>4</v>
      </c>
      <c r="K185" s="19">
        <v>195</v>
      </c>
      <c r="L185" s="21"/>
      <c r="M185" s="22">
        <f t="shared" si="40"/>
        <v>195</v>
      </c>
      <c r="N185" s="33"/>
      <c r="O185" s="21"/>
      <c r="P185" s="22">
        <f t="shared" si="37"/>
        <v>195</v>
      </c>
      <c r="Q185" s="21">
        <v>-116.5</v>
      </c>
      <c r="R185" s="22">
        <f t="shared" si="38"/>
        <v>78.5</v>
      </c>
      <c r="S185" s="46" t="s">
        <v>271</v>
      </c>
      <c r="T185" s="21">
        <v>12.1</v>
      </c>
      <c r="U185" s="22">
        <f t="shared" si="41"/>
        <v>90.6</v>
      </c>
      <c r="V185" s="46" t="s">
        <v>340</v>
      </c>
    </row>
    <row r="186" spans="1:22" ht="72.75" hidden="1" customHeight="1" outlineLevel="1" x14ac:dyDescent="0.2">
      <c r="A186" s="9"/>
      <c r="B186" s="27"/>
      <c r="C186" s="60"/>
      <c r="D186" s="84" t="s">
        <v>209</v>
      </c>
      <c r="E186" s="84"/>
      <c r="F186" s="84"/>
      <c r="G186" s="84"/>
      <c r="H186" s="10" t="s">
        <v>2</v>
      </c>
      <c r="I186" s="10" t="s">
        <v>1</v>
      </c>
      <c r="J186" s="10" t="s">
        <v>0</v>
      </c>
      <c r="K186" s="19">
        <v>14252</v>
      </c>
      <c r="L186" s="21">
        <v>-1528.2</v>
      </c>
      <c r="M186" s="22">
        <f t="shared" si="40"/>
        <v>12723.8</v>
      </c>
      <c r="N186" s="35" t="s">
        <v>242</v>
      </c>
      <c r="O186" s="21"/>
      <c r="P186" s="22">
        <f t="shared" si="37"/>
        <v>12723.8</v>
      </c>
      <c r="Q186" s="21">
        <v>-10871.5</v>
      </c>
      <c r="R186" s="22">
        <f t="shared" si="38"/>
        <v>1852.2999999999993</v>
      </c>
      <c r="S186" s="40" t="s">
        <v>263</v>
      </c>
      <c r="T186" s="21"/>
      <c r="U186" s="22">
        <f t="shared" si="41"/>
        <v>1852.2999999999993</v>
      </c>
      <c r="V186" s="40"/>
    </row>
    <row r="187" spans="1:22" ht="21" customHeight="1" collapsed="1" thickBot="1" x14ac:dyDescent="0.25">
      <c r="A187" s="12"/>
      <c r="B187" s="28"/>
      <c r="C187" s="29"/>
      <c r="D187" s="30"/>
      <c r="E187" s="30"/>
      <c r="F187" s="29"/>
      <c r="G187" s="29" t="s">
        <v>38</v>
      </c>
      <c r="H187" s="13" t="s">
        <v>2</v>
      </c>
      <c r="I187" s="13" t="s">
        <v>1</v>
      </c>
      <c r="J187" s="13" t="s">
        <v>0</v>
      </c>
      <c r="K187" s="24">
        <f>K180+K162+K155+K148+K140+K137+K124+K114+K111+K109+K96+K87+K83+K73+K70+K58+K56+K54+K41+K36+K28+K21+K16+K8</f>
        <v>5685651.2999999998</v>
      </c>
      <c r="L187" s="24">
        <f>L180+L162+L155+L148+L140+L137+L124+L114+L111+L109+L96+L87+L83+L73+L70+L58+L56+L54+L41+L36+L28+L21+L16+L8</f>
        <v>303660.09999999998</v>
      </c>
      <c r="M187" s="24">
        <f>M180+M162+M155+M148+M140+M137+M124+M114+M111+M109+M96+M87+M83+M73+M70+M58+M56+M54+M41+M36+M28+M21+M16+M8</f>
        <v>5989311.3999999994</v>
      </c>
      <c r="N187" s="39"/>
      <c r="O187" s="51">
        <f>O180+O162+O155+O148+O140+O137+O124+O114+O111+O109+O96+O87+O83+O73+O70+O58+O56+O54+O41+O36+O28+O21+O16+O8</f>
        <v>349466.29999999993</v>
      </c>
      <c r="P187" s="51">
        <f>P180+P162+P155+P148+P140+P137+P124+P114+P111+P109+P96+P87+P83+P73+P70+P58+P56+P54+P41+P36+P28+P21+P16+P8</f>
        <v>6338777.7000000002</v>
      </c>
      <c r="Q187" s="51">
        <f>Q180+Q162+Q155+Q148+Q140+Q137+Q124+Q114+Q111+Q109+Q96+Q87+Q83+Q73+Q70+Q58+Q56+Q54+Q41+Q36+Q28+Q21+Q16+Q8</f>
        <v>343963.70000000013</v>
      </c>
      <c r="R187" s="51">
        <f>R180+R162+R155+R148+R140+R137+R124+R114+R111+R109+R96+R87+R83+R73+R70+R58+R56+R54+R41+R36+R28+R21+R16+R8</f>
        <v>6682741.4000000013</v>
      </c>
      <c r="S187" s="52"/>
      <c r="T187" s="51">
        <f>T180+T162+T155+T148+T140+T137+T124+T114+T111+T109+T96+T87+T83+T73+T70+T58+T56+T54+T41+T36+T28+T21+T16+T8</f>
        <v>198044.22999999998</v>
      </c>
      <c r="U187" s="51">
        <f>U180+U162+U155+U148+U140+U137+U124+U114+U111+U109+U96+U87+U83+U73+U70+U58+U56+U54+U41+U36+U28+U21+U16+U8</f>
        <v>6880785.6300000008</v>
      </c>
      <c r="V187" s="52"/>
    </row>
    <row r="188" spans="1:22" ht="12.75" customHeight="1" x14ac:dyDescent="0.2">
      <c r="A188" s="14"/>
      <c r="B188" s="15"/>
      <c r="C188" s="15"/>
      <c r="D188" s="15"/>
      <c r="E188" s="15"/>
      <c r="F188" s="15"/>
      <c r="G188" s="15"/>
      <c r="H188" s="15"/>
      <c r="I188" s="15"/>
      <c r="J188" s="15"/>
      <c r="K188" s="5"/>
      <c r="L188" s="1"/>
      <c r="O188" s="1"/>
      <c r="Q188" s="1"/>
      <c r="T188" s="1"/>
    </row>
  </sheetData>
  <mergeCells count="191">
    <mergeCell ref="S5:S7"/>
    <mergeCell ref="D181:G181"/>
    <mergeCell ref="D182:G182"/>
    <mergeCell ref="D183:G183"/>
    <mergeCell ref="D184:G184"/>
    <mergeCell ref="D185:G185"/>
    <mergeCell ref="D35:G35"/>
    <mergeCell ref="D159:G159"/>
    <mergeCell ref="D161:G161"/>
    <mergeCell ref="D142:G142"/>
    <mergeCell ref="C141:G141"/>
    <mergeCell ref="D146:G146"/>
    <mergeCell ref="D147:G147"/>
    <mergeCell ref="D177:G177"/>
    <mergeCell ref="D166:G166"/>
    <mergeCell ref="D167:G167"/>
    <mergeCell ref="D168:G168"/>
    <mergeCell ref="D169:G169"/>
    <mergeCell ref="D170:G170"/>
    <mergeCell ref="D171:G171"/>
    <mergeCell ref="D173:G173"/>
    <mergeCell ref="D175:G175"/>
    <mergeCell ref="D176:G176"/>
    <mergeCell ref="C174:G174"/>
    <mergeCell ref="D186:G186"/>
    <mergeCell ref="D20:G20"/>
    <mergeCell ref="D23:G23"/>
    <mergeCell ref="C29:G29"/>
    <mergeCell ref="D60:G60"/>
    <mergeCell ref="D61:G61"/>
    <mergeCell ref="C74:G74"/>
    <mergeCell ref="C76:G76"/>
    <mergeCell ref="D91:G91"/>
    <mergeCell ref="D93:G93"/>
    <mergeCell ref="D102:G102"/>
    <mergeCell ref="D113:G113"/>
    <mergeCell ref="D126:G126"/>
    <mergeCell ref="C138:G138"/>
    <mergeCell ref="D150:G150"/>
    <mergeCell ref="B180:G180"/>
    <mergeCell ref="D178:G178"/>
    <mergeCell ref="D179:G179"/>
    <mergeCell ref="D50:G50"/>
    <mergeCell ref="D62:G62"/>
    <mergeCell ref="D136:G136"/>
    <mergeCell ref="C134:G134"/>
    <mergeCell ref="D143:G143"/>
    <mergeCell ref="D144:G144"/>
    <mergeCell ref="D154:G154"/>
    <mergeCell ref="D112:G112"/>
    <mergeCell ref="C88:G88"/>
    <mergeCell ref="B111:G111"/>
    <mergeCell ref="B114:G114"/>
    <mergeCell ref="D103:G103"/>
    <mergeCell ref="C92:G92"/>
    <mergeCell ref="C94:G94"/>
    <mergeCell ref="C97:G97"/>
    <mergeCell ref="D117:G117"/>
    <mergeCell ref="D119:G119"/>
    <mergeCell ref="C101:G101"/>
    <mergeCell ref="C105:G105"/>
    <mergeCell ref="C107:G107"/>
    <mergeCell ref="D90:G90"/>
    <mergeCell ref="D95:G95"/>
    <mergeCell ref="B148:G148"/>
    <mergeCell ref="D98:G98"/>
    <mergeCell ref="D135:G135"/>
    <mergeCell ref="B155:G155"/>
    <mergeCell ref="B137:G137"/>
    <mergeCell ref="D139:G139"/>
    <mergeCell ref="D38:G38"/>
    <mergeCell ref="D40:G40"/>
    <mergeCell ref="D43:G43"/>
    <mergeCell ref="D44:G44"/>
    <mergeCell ref="D89:G89"/>
    <mergeCell ref="B73:G73"/>
    <mergeCell ref="B87:G87"/>
    <mergeCell ref="D72:G72"/>
    <mergeCell ref="D99:G99"/>
    <mergeCell ref="D100:G100"/>
    <mergeCell ref="D108:G108"/>
    <mergeCell ref="D110:G110"/>
    <mergeCell ref="B109:G109"/>
    <mergeCell ref="B96:G96"/>
    <mergeCell ref="D106:G106"/>
    <mergeCell ref="C118:G118"/>
    <mergeCell ref="D116:G116"/>
    <mergeCell ref="D51:G51"/>
    <mergeCell ref="D53:G53"/>
    <mergeCell ref="D55:G55"/>
    <mergeCell ref="C115:G115"/>
    <mergeCell ref="C37:G37"/>
    <mergeCell ref="C39:G39"/>
    <mergeCell ref="D66:G66"/>
    <mergeCell ref="D67:G67"/>
    <mergeCell ref="D68:G68"/>
    <mergeCell ref="D69:G69"/>
    <mergeCell ref="D71:G71"/>
    <mergeCell ref="D47:G47"/>
    <mergeCell ref="D49:G49"/>
    <mergeCell ref="B41:G41"/>
    <mergeCell ref="B54:G54"/>
    <mergeCell ref="B56:G56"/>
    <mergeCell ref="C48:G48"/>
    <mergeCell ref="C52:G52"/>
    <mergeCell ref="B70:G70"/>
    <mergeCell ref="C65:G65"/>
    <mergeCell ref="D64:G64"/>
    <mergeCell ref="D63:G63"/>
    <mergeCell ref="D164:G164"/>
    <mergeCell ref="D165:G165"/>
    <mergeCell ref="C160:G160"/>
    <mergeCell ref="C163:G163"/>
    <mergeCell ref="C145:G145"/>
    <mergeCell ref="C149:G149"/>
    <mergeCell ref="D120:G120"/>
    <mergeCell ref="D121:G121"/>
    <mergeCell ref="D123:G123"/>
    <mergeCell ref="D127:G127"/>
    <mergeCell ref="D128:G128"/>
    <mergeCell ref="D130:G130"/>
    <mergeCell ref="D132:G132"/>
    <mergeCell ref="D133:G133"/>
    <mergeCell ref="B140:G140"/>
    <mergeCell ref="C131:G131"/>
    <mergeCell ref="B162:G162"/>
    <mergeCell ref="C122:G122"/>
    <mergeCell ref="D129:G129"/>
    <mergeCell ref="C125:G125"/>
    <mergeCell ref="B124:G124"/>
    <mergeCell ref="D157:G157"/>
    <mergeCell ref="C156:G156"/>
    <mergeCell ref="C158:G158"/>
    <mergeCell ref="D75:G75"/>
    <mergeCell ref="D84:G84"/>
    <mergeCell ref="D85:G85"/>
    <mergeCell ref="B83:G83"/>
    <mergeCell ref="D86:G86"/>
    <mergeCell ref="D81:G81"/>
    <mergeCell ref="C42:G42"/>
    <mergeCell ref="C59:G59"/>
    <mergeCell ref="D57:G57"/>
    <mergeCell ref="B58:G58"/>
    <mergeCell ref="C80:G80"/>
    <mergeCell ref="D77:G77"/>
    <mergeCell ref="D78:G78"/>
    <mergeCell ref="D45:G45"/>
    <mergeCell ref="E5:E7"/>
    <mergeCell ref="F5:F7"/>
    <mergeCell ref="B36:G36"/>
    <mergeCell ref="C22:G22"/>
    <mergeCell ref="C25:G25"/>
    <mergeCell ref="C9:G9"/>
    <mergeCell ref="C11:G11"/>
    <mergeCell ref="C13:G13"/>
    <mergeCell ref="C32:G32"/>
    <mergeCell ref="C34:G34"/>
    <mergeCell ref="D31:G31"/>
    <mergeCell ref="D33:G33"/>
    <mergeCell ref="D10:G10"/>
    <mergeCell ref="D12:G12"/>
    <mergeCell ref="D14:G14"/>
    <mergeCell ref="D15:G15"/>
    <mergeCell ref="D17:G17"/>
    <mergeCell ref="D18:G18"/>
    <mergeCell ref="D19:G19"/>
    <mergeCell ref="D30:G30"/>
    <mergeCell ref="T5:T7"/>
    <mergeCell ref="U5:U7"/>
    <mergeCell ref="V5:V7"/>
    <mergeCell ref="G3:V3"/>
    <mergeCell ref="B8:G8"/>
    <mergeCell ref="B16:G16"/>
    <mergeCell ref="B21:G21"/>
    <mergeCell ref="B28:G28"/>
    <mergeCell ref="C5:C7"/>
    <mergeCell ref="K5:K7"/>
    <mergeCell ref="D5:D7"/>
    <mergeCell ref="O5:O7"/>
    <mergeCell ref="P5:P7"/>
    <mergeCell ref="H5:J7"/>
    <mergeCell ref="D24:G24"/>
    <mergeCell ref="D26:G26"/>
    <mergeCell ref="D27:G27"/>
    <mergeCell ref="Q5:Q7"/>
    <mergeCell ref="R5:R7"/>
    <mergeCell ref="N5:N7"/>
    <mergeCell ref="L5:L7"/>
    <mergeCell ref="M5:M7"/>
    <mergeCell ref="G5:G7"/>
    <mergeCell ref="B5:B7"/>
  </mergeCells>
  <pageMargins left="0.39370078740157483" right="0.39370078740157483" top="0.53" bottom="0.28000000000000003" header="0.51181102362204722" footer="0.27"/>
  <pageSetup paperSize="9" scale="61" fitToHeight="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Бюджет_3</vt:lpstr>
      <vt:lpstr>Бюджет_3!Заголовки_для_печати</vt:lpstr>
    </vt:vector>
  </TitlesOfParts>
  <Company>Megion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Нежинская Инна Евгеньевна</cp:lastModifiedBy>
  <cp:lastPrinted>2024-12-09T10:52:04Z</cp:lastPrinted>
  <dcterms:created xsi:type="dcterms:W3CDTF">2024-01-22T10:49:57Z</dcterms:created>
  <dcterms:modified xsi:type="dcterms:W3CDTF">2024-12-09T10:52:42Z</dcterms:modified>
</cp:coreProperties>
</file>