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Print_Titles" localSheetId="0">Лист1!$5:$7</definedName>
    <definedName name="_xlnm.Print_Area" localSheetId="0">Лист1!$A$1:$L$199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4" i="1"/>
  <c r="H13" i="1" l="1"/>
  <c r="F77" i="1"/>
  <c r="H77" i="1"/>
  <c r="J98" i="1" l="1"/>
  <c r="J99" i="1"/>
  <c r="F98" i="1"/>
  <c r="F99" i="1"/>
  <c r="F70" i="1"/>
  <c r="H76" i="1"/>
  <c r="K80" i="1" l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79" i="1"/>
  <c r="J77" i="1"/>
  <c r="K10" i="1"/>
  <c r="K68" i="1"/>
  <c r="K69" i="1"/>
  <c r="K70" i="1"/>
  <c r="K71" i="1"/>
  <c r="K72" i="1"/>
  <c r="K73" i="1"/>
  <c r="K74" i="1"/>
  <c r="K75" i="1"/>
  <c r="K76" i="1"/>
  <c r="K67" i="1"/>
  <c r="K45" i="1"/>
  <c r="K176" i="1" l="1"/>
  <c r="J176" i="1"/>
  <c r="H176" i="1" l="1"/>
  <c r="F176" i="1"/>
  <c r="J174" i="1" l="1"/>
  <c r="H174" i="1"/>
  <c r="F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K162" i="1"/>
  <c r="J162" i="1"/>
  <c r="K161" i="1"/>
  <c r="J161" i="1"/>
  <c r="K160" i="1"/>
  <c r="J160" i="1"/>
  <c r="K159" i="1"/>
  <c r="K158" i="1"/>
  <c r="J158" i="1"/>
  <c r="K157" i="1"/>
  <c r="J157" i="1"/>
  <c r="K156" i="1"/>
  <c r="I155" i="1"/>
  <c r="K155" i="1" s="1"/>
  <c r="K154" i="1"/>
  <c r="J154" i="1"/>
  <c r="J153" i="1"/>
  <c r="I153" i="1"/>
  <c r="K153" i="1" s="1"/>
  <c r="I152" i="1"/>
  <c r="K152" i="1" s="1"/>
  <c r="J151" i="1"/>
  <c r="I151" i="1"/>
  <c r="K151" i="1" s="1"/>
  <c r="K150" i="1"/>
  <c r="J150" i="1"/>
  <c r="I149" i="1"/>
  <c r="G149" i="1"/>
  <c r="E149" i="1"/>
  <c r="K148" i="1"/>
  <c r="J147" i="1"/>
  <c r="I147" i="1"/>
  <c r="H147" i="1"/>
  <c r="G147" i="1"/>
  <c r="F147" i="1"/>
  <c r="E147" i="1"/>
  <c r="J146" i="1"/>
  <c r="I146" i="1"/>
  <c r="G146" i="1"/>
  <c r="K146" i="1" s="1"/>
  <c r="E146" i="1"/>
  <c r="J145" i="1"/>
  <c r="I145" i="1"/>
  <c r="H145" i="1"/>
  <c r="G145" i="1"/>
  <c r="F145" i="1"/>
  <c r="E145" i="1"/>
  <c r="K144" i="1"/>
  <c r="J144" i="1"/>
  <c r="H144" i="1"/>
  <c r="F144" i="1"/>
  <c r="I143" i="1"/>
  <c r="G143" i="1"/>
  <c r="J142" i="1"/>
  <c r="I142" i="1"/>
  <c r="H142" i="1"/>
  <c r="G142" i="1"/>
  <c r="F142" i="1"/>
  <c r="E142" i="1"/>
  <c r="J141" i="1"/>
  <c r="I141" i="1"/>
  <c r="H141" i="1"/>
  <c r="G141" i="1"/>
  <c r="F141" i="1"/>
  <c r="E141" i="1"/>
  <c r="J140" i="1"/>
  <c r="I140" i="1"/>
  <c r="H140" i="1"/>
  <c r="G140" i="1"/>
  <c r="F140" i="1"/>
  <c r="E140" i="1"/>
  <c r="J139" i="1"/>
  <c r="I139" i="1"/>
  <c r="H139" i="1"/>
  <c r="G139" i="1"/>
  <c r="F139" i="1"/>
  <c r="E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F101" i="1"/>
  <c r="J59" i="1"/>
  <c r="I59" i="1"/>
  <c r="H59" i="1"/>
  <c r="G59" i="1"/>
  <c r="F59" i="1"/>
  <c r="E59" i="1"/>
  <c r="K58" i="1"/>
  <c r="E58" i="1"/>
  <c r="J57" i="1"/>
  <c r="I57" i="1"/>
  <c r="H57" i="1"/>
  <c r="G57" i="1"/>
  <c r="K57" i="1" s="1"/>
  <c r="F57" i="1"/>
  <c r="E57" i="1"/>
  <c r="J100" i="1" l="1"/>
  <c r="H100" i="1"/>
  <c r="F100" i="1"/>
  <c r="M146" i="1" s="1"/>
  <c r="K140" i="1"/>
  <c r="K142" i="1"/>
  <c r="K143" i="1"/>
  <c r="K149" i="1"/>
  <c r="K139" i="1"/>
  <c r="K141" i="1"/>
  <c r="K147" i="1"/>
  <c r="N146" i="1"/>
  <c r="O146" i="1"/>
  <c r="K145" i="1"/>
  <c r="J17" i="1" l="1"/>
  <c r="J13" i="1"/>
  <c r="G13" i="1"/>
  <c r="F78" i="1" l="1"/>
  <c r="K14" i="1" l="1"/>
  <c r="H9" i="1"/>
  <c r="H8" i="1" s="1"/>
  <c r="F9" i="1"/>
  <c r="K11" i="1" l="1"/>
  <c r="F178" i="1" l="1"/>
  <c r="F175" i="1"/>
  <c r="H178" i="1" l="1"/>
  <c r="J9" i="1" l="1"/>
  <c r="F8" i="1" l="1"/>
  <c r="K56" i="1" l="1"/>
  <c r="K55" i="1"/>
  <c r="K54" i="1"/>
  <c r="K53" i="1"/>
  <c r="K52" i="1"/>
  <c r="K51" i="1"/>
  <c r="K50" i="1"/>
  <c r="K49" i="1"/>
  <c r="K48" i="1"/>
  <c r="K47" i="1"/>
  <c r="K46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2" i="1"/>
  <c r="K21" i="1"/>
  <c r="K20" i="1"/>
  <c r="K23" i="1" l="1"/>
  <c r="N179" i="1" l="1"/>
  <c r="K13" i="1" l="1"/>
  <c r="M79" i="1" l="1"/>
  <c r="H175" i="1" l="1"/>
  <c r="N176" i="1" s="1"/>
  <c r="J175" i="1"/>
  <c r="O176" i="1" s="1"/>
  <c r="J178" i="1"/>
  <c r="O179" i="1" s="1"/>
  <c r="M10" i="1" l="1"/>
  <c r="O10" i="1" l="1"/>
  <c r="N10" i="1"/>
  <c r="M7" i="1"/>
  <c r="H78" i="1" l="1"/>
  <c r="J78" i="1"/>
  <c r="O79" i="1" s="1"/>
  <c r="N79" i="1" l="1"/>
  <c r="J8" i="1" l="1"/>
  <c r="O7" i="1" s="1"/>
  <c r="K17" i="1"/>
  <c r="K19" i="1"/>
  <c r="K18" i="1" l="1"/>
  <c r="N7" i="1" l="1"/>
</calcChain>
</file>

<file path=xl/sharedStrings.xml><?xml version="1.0" encoding="utf-8"?>
<sst xmlns="http://schemas.openxmlformats.org/spreadsheetml/2006/main" count="590" uniqueCount="357">
  <si>
    <t>сумма, руб.</t>
  </si>
  <si>
    <t>Организация и проведение спортивно-оздоровительной работы по развитию физической культуры и спорта среди различных групп населения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</si>
  <si>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</si>
  <si>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</si>
  <si>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</si>
  <si>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</si>
  <si>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</si>
  <si>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</si>
  <si>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</si>
  <si>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</si>
  <si>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Наименование муниципальных услуг (работ), в соответствии с базовым перечнем </t>
  </si>
  <si>
    <t>Показатели объёма (единица измерения)</t>
  </si>
  <si>
    <t>ОБРАЗОВАНИЕ</t>
  </si>
  <si>
    <t>МУНИЦИПАЛЬНЫЕ УСЛУГИ (РАБОТЫ) - ВСЕГО</t>
  </si>
  <si>
    <t>Х</t>
  </si>
  <si>
    <t>ФИЗИЧЕСКАЯ КУЛЬТУРА И СПОРТ</t>
  </si>
  <si>
    <t xml:space="preserve"> КУЛЬТУРА</t>
  </si>
  <si>
    <t>Техническое сопровождение и эксплуатация, вывод из эксплуатации информационных систем и компонентов информационно-телекоммуникационной инфраструктуры</t>
  </si>
  <si>
    <t>СВЯЗЬ И ИНФОРМАТИКА</t>
  </si>
  <si>
    <t>МУНИЦИПАЛЬНЫЕ УСЛУГИ (РАБОТЫ) - ВСЕГО, в том числе:</t>
  </si>
  <si>
    <t>штука</t>
  </si>
  <si>
    <t>человек</t>
  </si>
  <si>
    <t>Причина неисполнения, менее 98%</t>
  </si>
  <si>
    <t>Не исполнено (количественный показатель)</t>
  </si>
  <si>
    <t>910200О.99.0.ББ69АА00000</t>
  </si>
  <si>
    <t>Публичный показ музейных предметов, музейных коллекций</t>
  </si>
  <si>
    <t>910200О.99.0.ББ69АА01000</t>
  </si>
  <si>
    <t>единиц</t>
  </si>
  <si>
    <t>910100О.99.0.ББ83АА00000</t>
  </si>
  <si>
    <t>900400.О.99.0.ББ80АА00000</t>
  </si>
  <si>
    <t>Показ (организация показа) спектаклей (театральных постановок)</t>
  </si>
  <si>
    <t>900100О.99.0.ББ81АА00000</t>
  </si>
  <si>
    <t>Показ (организация показа) концертов и концертных программ</t>
  </si>
  <si>
    <t>591400О.99.0.ББ85АА01000</t>
  </si>
  <si>
    <t>Показ кинофильмов</t>
  </si>
  <si>
    <t>Создание экспозиций (выставок) музеев, организация выездных выставок</t>
  </si>
  <si>
    <t>Формирование, учет, изучение, обеспечение сохранения и безопасности музейных предметов, музейных коллекций</t>
  </si>
  <si>
    <t>рублей</t>
  </si>
  <si>
    <t>Реализация основных общеобразовательных программ дошкольного образования (адаптированная образовательная программа, Обучающиеся с ограниченными возможностями здоровья (ОВЗ), От 3 лет до 8 лет)</t>
  </si>
  <si>
    <t>Реализация основных общеобразовательных программ дошкольного образования (адаптированная образовательная программа, Дети-инвалиды, От 3 лет до 8 лет)</t>
  </si>
  <si>
    <t>Реализация основных общеобразовательных программ начального общего образования (дети-инвалиды, адаптированная образовательная программа, проходящие обучение по состоянию здоровья на дому)</t>
  </si>
  <si>
    <t>Реализация основных общеобразовательных программ начального общего образования (обучающиеся за исключением обучающихся с ограниченными возможностями здоровья (ОВЗ) и детей-инвалидов)</t>
  </si>
  <si>
    <t>Реализация основных общеобразовательных программ начального общего образования (обучающиеся за исключением обучающихся с ограниченными возможностями здоровья (ОВЗ) и детей-инвалидов, проходящие обучение по состоянию здоровья на дому)</t>
  </si>
  <si>
    <t>Реализация основных общеобразовательных программ начального общего образования (обучающиеся с ограниченными возможностями здоровья (ОВЗ), проходящие обучение по состоянию здоровья на дому)</t>
  </si>
  <si>
    <t>Реализация основных общеобразовательных программ начального общего образования (дети-инвалиды)</t>
  </si>
  <si>
    <t>Реализация основных общеобразовательных программ начального общего образования (дети-инвалиды, проходящие обучение по состоянию здоровья на дому)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</si>
  <si>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</si>
  <si>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начального общего образования (Очная с применением дистанционных образовательных технологий)</t>
  </si>
  <si>
    <t>Реализация основных общеобразовательных программ начального общего образования (проходящие обучение по состоянию здоровья на дому)</t>
  </si>
  <si>
    <t>Реализация основных общеобразовательных программ основного общего образования (обучающиеся с ограниченными возможностями здоровья (ОВЗ), адаптированная образовательная программа)</t>
  </si>
  <si>
    <t>Реализация основных общеобразовательных программ основного общего образования (обучающиеся с ограниченными возможностями здоровья (ОВЗ), адаптированная образовательная программа, проходящие обучение по состоянию здоровья на дому)</t>
  </si>
  <si>
    <t>Реализация основных общеобразовательных программ основного общего образования (обучающиеся за исключением обучающихся с ограниченными возможностями здоровья (ОВЗ) и детей-инвалидов)</t>
  </si>
  <si>
    <t>Реализация основных общеобразовательных программ основного общего образования (обучающиеся за исключением обучающихся с ограниченными возможностями здоровья (ОВЗ) и детей-инвалидов, проходящие обучение по состоянию здоровья на дому)</t>
  </si>
  <si>
    <t>Реализация основных общеобразовательных программ основного общего образования (обучающиеся с ограниченными возможностями здоровья (ОВЗ), проходящие обучение по состоянию здоровья на дому)</t>
  </si>
  <si>
    <t>Реализация основных общеобразовательных программ основного общего образования (дети-инвалиды)</t>
  </si>
  <si>
    <t>Реализация основных общеобразовательных программ основного общего образования (дети-инвалиды, проходящие обучение по состоянию здоровья на дому)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</si>
  <si>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</si>
  <si>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основного общего образования (Очная с применением дистанционных образовательных технологий)</t>
  </si>
  <si>
    <t>Реализация основных общеобразовательных программ основного общего образования (проходящие обучение по состоянию здоровья на дому)</t>
  </si>
  <si>
    <t>Реализация основных общеобразовательных программ среднего общего образования (обучающиеся за исключением обучающихся с ограниченными возможностями здоровья (ОВЗ) и детей-инвалидов, образовательная программа, обеспечивающая углубленное изучение отдельных учебных предметов, предметных областей (профильное обучение))</t>
  </si>
  <si>
    <t>Реализация основных общеобразовательных программ среднего общего образования (образовательная программа, обеспечивающая углубленное изучение отдельных учебных предметов, предметных областей (профильное обучение))</t>
  </si>
  <si>
    <t>Реализация основных общеобразовательных программ среднего общего образования</t>
  </si>
  <si>
    <t>Реализация основных дополнительных общеразвивающих программ</t>
  </si>
  <si>
    <t>801011О.99.0.БВ24АВ42000</t>
  </si>
  <si>
    <t>801011О.99.0.БВ24АК62000</t>
  </si>
  <si>
    <t>801011О.99.0.БВ24ВТ22000</t>
  </si>
  <si>
    <t>801011О.99.0.БВ24ВУ42000</t>
  </si>
  <si>
    <t>801011О.99.0.БВ24ДМ62000</t>
  </si>
  <si>
    <t>801011О.99.0.БВ24ДН82000</t>
  </si>
  <si>
    <t>801012О.99.0.БА81АА00001</t>
  </si>
  <si>
    <t>801012О.99.0.БА81АА24001</t>
  </si>
  <si>
    <t>801012О.99.0.БА81АЩ72001</t>
  </si>
  <si>
    <t>801012О.99.0.БА81АЮ16001</t>
  </si>
  <si>
    <t>802111О.99.0.БА96АА25001</t>
  </si>
  <si>
    <t>802111О.99.0.БА96АЧ33001</t>
  </si>
  <si>
    <t>802111О.99.0.БА96АШ83001</t>
  </si>
  <si>
    <t>802111О.99.0.БА96АЭ08001</t>
  </si>
  <si>
    <t>802111О.99.0.БА96АЭ33001</t>
  </si>
  <si>
    <t>802111О.99.0.БА96АЮ58001</t>
  </si>
  <si>
    <t>802111О.99.0.БА96АЮ59001</t>
  </si>
  <si>
    <t>802111О.99.0.БА96АЮ83001</t>
  </si>
  <si>
    <t>802112О.99.0.ББ11АЛ26001</t>
  </si>
  <si>
    <t>802112О.99.0.ББ11АП76001</t>
  </si>
  <si>
    <t>802112О.99.0.ББ11АЮ58001</t>
  </si>
  <si>
    <t>804200О.99.0.ББ52АЖ48000</t>
  </si>
  <si>
    <t>Организация деятельности клубных формирований и формирований самодеятельного народного творчества</t>
  </si>
  <si>
    <t>Муниципальные услуги (работы)</t>
  </si>
  <si>
    <t>Наименование РзПр</t>
  </si>
  <si>
    <t>Уникальный номер реестровой записи</t>
  </si>
  <si>
    <t>сумма, руб. *</t>
  </si>
  <si>
    <t>объемы  муниципальных услуг (работ)</t>
  </si>
  <si>
    <t>Уточненные значения показателей</t>
  </si>
  <si>
    <t>Первоначально утвержденные значения показателей</t>
  </si>
  <si>
    <t>Фактические значения показателей</t>
  </si>
  <si>
    <t>х</t>
  </si>
  <si>
    <t>910200О.99.0.ББ82АА00000</t>
  </si>
  <si>
    <t>910200О.99.0.ББ82АА01000</t>
  </si>
  <si>
    <t>591400О.99.0.ББ73АА01000</t>
  </si>
  <si>
    <t>Реализация дополнительных общеобразовательных предпрофессиональных программ в области искусств (Декоративно-прикладное творчество)</t>
  </si>
  <si>
    <t xml:space="preserve">Производство и выпуск сетевого издания (Содержание порталов в инфромационно-коммуникационной сети Интернет) </t>
  </si>
  <si>
    <t>Производство и распространение телепрограмм</t>
  </si>
  <si>
    <t>шт</t>
  </si>
  <si>
    <t>Мб</t>
  </si>
  <si>
    <t>час</t>
  </si>
  <si>
    <t>581300.Р.83.1.06670001000</t>
  </si>
  <si>
    <t>631200.Р.83.1.05270001000</t>
  </si>
  <si>
    <t>602000.Р.83.1.04960001000</t>
  </si>
  <si>
    <t>СРЕДСТВА МАССОВОЙ ИНФОРМАЦИИ</t>
  </si>
  <si>
    <t>Осуществление издательской деятельности</t>
  </si>
  <si>
    <t>802112О.99.0.ББ11АО26001</t>
  </si>
  <si>
    <t>Реализация основных общеобразовательных программ среднего общего образования (дети-инвалиды, образовательная программа, обеспечивающая углубленное изучение отдельных учебных предметов, предметных областей (профильное обучение))</t>
  </si>
  <si>
    <t>802112О.99.0.ББ55АД96000</t>
  </si>
  <si>
    <t>Человек</t>
  </si>
  <si>
    <t>560200О.99.0.БА89АА00000</t>
  </si>
  <si>
    <t>Начальное общее образование</t>
  </si>
  <si>
    <t>560200О.99.0.ББ03АА00000</t>
  </si>
  <si>
    <t>Основное общее образование</t>
  </si>
  <si>
    <t>560200О.99.0.ББ18АА00000</t>
  </si>
  <si>
    <t>Среднее общее образование</t>
  </si>
  <si>
    <t>Реализация основных общеобразовательных программ дошкольного образования (Обучающиеся за исключением обучающихся с ограниченными возможностями здоровья (ОВЗ) и детей-инвалидов, От 1 года до 3 лет)</t>
  </si>
  <si>
    <t>Реализация основных общеобразовательных программ дошкольного образования (Обучающиеся за исключением обучающихся с ограниченными возможностями здоровья (ОВЗ) и детей-инвалидов, От 3 лет до 8 лет)</t>
  </si>
  <si>
    <t>Реализация основных общеобразовательных программ дошкольного образования (От 1 года до 3 лет)</t>
  </si>
  <si>
    <t>Реализация основных общеобразовательных программ дошкольного образования (От 3 лет до 8 лет)</t>
  </si>
  <si>
    <t>Реализация основных общеобразовательных программ начального общего образования (обучающиеся с ограниченными возможностями здоровья (ОВЗ), адаптированная образовательная программа)</t>
  </si>
  <si>
    <t>Реализация основных общеобразовательных программ начального общего образования ( обучающиеся с ограниченными возможностями здоровья (ОВЗ), адаптированная образовательная программа, проходящие обучение по состоянию здоровья на дому)</t>
  </si>
  <si>
    <t>801012О.99.0.БА81АБ68001</t>
  </si>
  <si>
    <t>801012О.99.0.БА81АЦ60001</t>
  </si>
  <si>
    <t>801012О.99.0.БА81АЦ67001</t>
  </si>
  <si>
    <t>801012О.99.0.БА81АЦ84001</t>
  </si>
  <si>
    <t>801012О.99.0.БА81АШ28001</t>
  </si>
  <si>
    <t>801012О.99.0.БА81АЩ48001</t>
  </si>
  <si>
    <t>801012О.99.0.БА81АЭ92001</t>
  </si>
  <si>
    <t>801012О.99.0.БА81АЭ93001</t>
  </si>
  <si>
    <t>802111О.99.0.БА96АА00001</t>
  </si>
  <si>
    <t>802111О.99.0.БА96АЧ08001</t>
  </si>
  <si>
    <t>Расходы по содержанию имущества (НАЛОГИ)</t>
  </si>
  <si>
    <t>920700О.99.0.АЗ22АА01001</t>
  </si>
  <si>
    <t>X</t>
  </si>
  <si>
    <t>900400О.99.0.ББ72АА00001</t>
  </si>
  <si>
    <t>Организация и проведение мероприятий</t>
  </si>
  <si>
    <t>900400.P.83.1.05730001001</t>
  </si>
  <si>
    <t>932919.P.83.1.05390001001</t>
  </si>
  <si>
    <t>Организация досуга детей, подростков и молодежи     Культурно-досуговые, спортивно-массовые мероприятия</t>
  </si>
  <si>
    <t>900400.О.99.0.ББ67АА00000</t>
  </si>
  <si>
    <t>900100О.99.0.ББ68АА00000</t>
  </si>
  <si>
    <t>«Библиотечное, библиографическое и информационное обслуживание пользователей библиотеки» (в стационарных условиях</t>
  </si>
  <si>
    <t xml:space="preserve">Единица </t>
  </si>
  <si>
    <t>910100О.99.0.ББ83АА02000</t>
  </si>
  <si>
    <t xml:space="preserve">«Библиотечное, библиографическое и информационное обслуживание пользователей библиотеки» (удаленно через сеть Интернет) </t>
  </si>
  <si>
    <t>910100О.99.0.ББ83АА01000</t>
  </si>
  <si>
    <t>«Библиотечное, библиографическое и информационное обслуживание пользователей библиотеки» (вне стационара)</t>
  </si>
  <si>
    <t>910100.Р.83.1.05930001001</t>
  </si>
  <si>
    <t>«Библиографическая обработка документов и создание каталогов»</t>
  </si>
  <si>
    <t>Реализация дополнительных образовательных программ спортивной подготовки по олимпийским видам спорта  (этап  начальной подготовки) прыжки на батуте</t>
  </si>
  <si>
    <t>854100О.99.0.БО52АА40001</t>
  </si>
  <si>
    <t>Реализация дополнительных образовательных программ спортивной подготовки по олимпийским видам спорта  (этап  начальной подготовки) бокс</t>
  </si>
  <si>
    <t>854100О.99.0.БО52АА88001</t>
  </si>
  <si>
    <t>Реализация дополнительных образовательных программ спортивной подготовки по олимпийским видам спорта  (этап  начальной подготовки) плавание</t>
  </si>
  <si>
    <t>854100О.99.0.БО52АБ64001</t>
  </si>
  <si>
    <t>Реализация дополнительных образовательных программ спортивной подготовки по олимпийским видам спорта  (этап  начальной подготовки) дзюдо</t>
  </si>
  <si>
    <t>854100О.99.0.БО52АВ08001</t>
  </si>
  <si>
    <t>Реализация дополнительных образовательных программ спортивной подготовки по олимпийским видам спорта  (этап  начальной подготовки) баскетбол</t>
  </si>
  <si>
    <t>854100О.99.0.БО52АА48001</t>
  </si>
  <si>
    <t>Реализация дополнительных образовательных программ спортивной подготовки по олимпийским видам спорта  (этап  начальной подготовки) футбол</t>
  </si>
  <si>
    <t>854100О.99.0.БО52АБ57001</t>
  </si>
  <si>
    <t>854100О.99.0.БО52АА41001</t>
  </si>
  <si>
    <t>854100О.99.0.БО52АА89001</t>
  </si>
  <si>
    <t>854100О.99.0.БО52АВ09001</t>
  </si>
  <si>
    <t>854100О.99.0.БО52АА49001</t>
  </si>
  <si>
    <t>854100О.99.0.БО52АБ58001</t>
  </si>
  <si>
    <t>Реализация дополнительных образовательных программ спортивной подготовки по олимпийским видам спорта  (этап спортивного совершенствования) прыжки на батуте</t>
  </si>
  <si>
    <t>854100О.99.0.БО52АА42001</t>
  </si>
  <si>
    <t>Реализация дополнительных образовательных программ спортивной подготовки по олимпийским видам спорта  (этап спортивного совершенствования) бокс</t>
  </si>
  <si>
    <t>854100О.99.0.БО53АВ52001</t>
  </si>
  <si>
    <t>Реализация дополнительных образовательных программ спортивной подготовки по неолимпийским видам спорта  (этап  начальной подготовки) самбо</t>
  </si>
  <si>
    <t>854100О.99.0.БО53АВ80001</t>
  </si>
  <si>
    <t>Реализация дополнительных образовательных программ спортивной подготовки по неолимпийским видам спорта  (этап  начальной подготовки) спортивная акробатика</t>
  </si>
  <si>
    <t>854100О.99.0.БО53АБ88001</t>
  </si>
  <si>
    <t>Реализация дополнительных образовательных программ спортивной подготовки по неолимпийским видам спорта  (этап  начальной подготовки) пауэрлифтинг</t>
  </si>
  <si>
    <t>854100О.99.0.БО53АВ40001</t>
  </si>
  <si>
    <t>Реализация дополнительных образовательных программ спортивной подготовки по неолимпийским видам спорта  (этап  начальной подготовки) рукопашный бой</t>
  </si>
  <si>
    <t>854100О.99.0.БО53АБ32001</t>
  </si>
  <si>
    <t>Реализация дополнительных образовательных программ спортивной подготовки по неолимпийским видам спорта  (этап  начальной подготовки) киокусинкай</t>
  </si>
  <si>
    <t>854100О.99.0.БО53АД04000</t>
  </si>
  <si>
    <t>Реализация дополнительных образовательных программ спортивной подготовки по неолимпийским видам спорта  (этап  начальной подготовки) каратэ</t>
  </si>
  <si>
    <t>854100О.99.0.БО53АВ81001</t>
  </si>
  <si>
    <t>854100О.99.0.БО53АБ89001</t>
  </si>
  <si>
    <t>854100О.99.0.БО53АВ41001</t>
  </si>
  <si>
    <t>854100О.99.0.БО53АБ33001</t>
  </si>
  <si>
    <t>854100О.99.0.БО53АА33001</t>
  </si>
  <si>
    <t>854100О.99.0.БО53АВ82001</t>
  </si>
  <si>
    <t>854100О.99.0.БО51АА16000</t>
  </si>
  <si>
    <t>Реализация дополнительных образовательных программ спортивной подготовки по адаптивным видам спорта  (этап начальной подготовки) Спорт лиц с интелектуальными нарушениями</t>
  </si>
  <si>
    <t>854100О.99.0.БО51АА17000</t>
  </si>
  <si>
    <t>854100О.99.0.БО51АА08000</t>
  </si>
  <si>
    <t>Реализация дополнительных образовательных программ спортивной подготовки по адаптивным видам спорта  (этап начальной подготовки) Спорт лиц с поражением ОДА</t>
  </si>
  <si>
    <t>854100О.99.0.БО51АА09000</t>
  </si>
  <si>
    <t>Организация и обеспечение подготовки спортивного резерва</t>
  </si>
  <si>
    <t>Обеспечение участия лиц,проходящих спортивную подготовку,в спортивных соревнованиях (региональные)</t>
  </si>
  <si>
    <t>количество мероприятий</t>
  </si>
  <si>
    <t>Обеспечение участия лиц,проходящих спортивную подготовку,в спортивных соревнованиях (межрегиональные)</t>
  </si>
  <si>
    <t>Обеспечение участия лиц,проходящих спортивную подготовку,в спортивных соревнованиях (всероссийские)</t>
  </si>
  <si>
    <t>Организация мероприятий по подотовке спортивных сборных команд</t>
  </si>
  <si>
    <t>Количество привлеченных лиц</t>
  </si>
  <si>
    <t>количество посещений</t>
  </si>
  <si>
    <t>Организация и проведение официальных спортивных меропрятий (муниципальные)</t>
  </si>
  <si>
    <t>Организация и проведение физической реабилитции для инвалида (ребенка-инвалида,людей с ОВЗ, в том числе с участием членов их семей и /или сопровождающих</t>
  </si>
  <si>
    <t>количество занимающихся</t>
  </si>
  <si>
    <t>Реализация основных общеобразовательных программ начального общего образования (обучающиеся за исключением обучающихся с ограниченными возможностями здоровья (ОВЗ) и детей-инвалидов очно-заочная с применением дистанционных образовательных технологий и электронного обучения)</t>
  </si>
  <si>
    <t>802112О.99.0.ББ11АЧ15001</t>
  </si>
  <si>
    <t>Реализация основных общеобразовательных программ среднего общего образования (обучающиеся за исключением обучающихся с ограниченными возможностями и здоровья (ОВЗ) и детей-инвалидов, очная-заочная с применением дистанционных образовательных технологий и электронного обучения)</t>
  </si>
  <si>
    <t>Организация отдыха детей и молодежи (в каникулярное время с дневным пребыванием)</t>
  </si>
  <si>
    <t>931100.Р.83.1.05370001000</t>
  </si>
  <si>
    <t>Организация и проведение официальных физкультурных (физкультурно-оздоровительных) мероприятий (муниципальные)</t>
  </si>
  <si>
    <t>931900.Р.83.1.05210007000</t>
  </si>
  <si>
    <t>Обеспечение участия спортивных сборных команд в официальных спортивных мероприятиях (региональные)</t>
  </si>
  <si>
    <t>931900.Р.83.1.06050001000</t>
  </si>
  <si>
    <t>Организация и проведение физкультурных и спортивных мероприятий в рамках Всероссийского физкультурно-спортивного комплекса «Готов к труду и обороне» (ГТО) (за исключением тестирования выполнения нормативов испытания комплекса ГТО)</t>
  </si>
  <si>
    <t>931900.Р.83.1.07000001000</t>
  </si>
  <si>
    <t>Проведение тестирования выполнения нормативов испытания (тестов) комплекса ГТО</t>
  </si>
  <si>
    <t>930000.Р.83.1.05860001000</t>
  </si>
  <si>
    <t>854100О.99.0.БО52АБ00001</t>
  </si>
  <si>
    <t>Спортивная подготовка по олимпийским видам спорта, Фигурное катание (этап начальной подготовки)</t>
  </si>
  <si>
    <t>854100О.99.0.БО52АБ01001</t>
  </si>
  <si>
    <t>854100О.99.0.БО52АА68001</t>
  </si>
  <si>
    <t>Спортивная подготовка по олимпийским видам спорта, Хоккей (этап начальной подготовки)</t>
  </si>
  <si>
    <t>854100О.99.0.БО52АА69001</t>
  </si>
  <si>
    <t>Спортивная подготовка по олимпийским видам спорта, Футбол (этап начальной подготовки)</t>
  </si>
  <si>
    <t>854100О.99.0.БО52АБ96001</t>
  </si>
  <si>
    <t>Спортивная подготовка по олимпийским видам спорта, Конный спорт (этап начальной подготовки)</t>
  </si>
  <si>
    <t>854100О.99.0.БО52АБ97001</t>
  </si>
  <si>
    <t>854100О.99.0.БО52АА72001</t>
  </si>
  <si>
    <t>Спортивная подготовка по олимпийским видам спорта, Лыжные гонки (этап начальной подготовки)</t>
  </si>
  <si>
    <t>854100О.99.0.БО52АБ88001</t>
  </si>
  <si>
    <t>Спортивная подготовка по олимпийским видам спорта, Волейбол (этап начальной подготовки)</t>
  </si>
  <si>
    <t>854100О.99.0.БО53АВ08001</t>
  </si>
  <si>
    <t>Спортивная подготовка по неолимпийским видам спорта, Полиатлон (этап начальной подготовки)</t>
  </si>
  <si>
    <t>854100О.99.0.БО53АВ09001</t>
  </si>
  <si>
    <t>854100О.99.0.БО53АВ10001</t>
  </si>
  <si>
    <t>Спортивная подготовка по неолимпийским видам спорта, Полиатлон (этап совершенствования спортивного мастерства)</t>
  </si>
  <si>
    <t>854100О.99.0.БО53АБ78001</t>
  </si>
  <si>
    <t>Спортивная подготовка по неолимпийским видам спорта, Мотоциклетный спорт (этап совершенствования спортивного мастерства)</t>
  </si>
  <si>
    <t>854100О.99.0.БО53АБ76001</t>
  </si>
  <si>
    <t>Спортивная подготовка по неолимпийским видам спорта, Мотоциклетный спорт (этап начальной подготовки)</t>
  </si>
  <si>
    <t>854100О.99.0.БО53АБ77001</t>
  </si>
  <si>
    <t>Спортивная подготовка по неолимпийским видам спорта, Мотоциклетный спорт (тренировочный этап)</t>
  </si>
  <si>
    <t>Спортивная подготовка по неолимпийским видам спорта, Пауэрлифтинг (этап начальной подготовки)</t>
  </si>
  <si>
    <t>Организация и проведение официальных спортивных мероприятий (межрегиональные)</t>
  </si>
  <si>
    <t>900100О.99.0.ББ68АА01000</t>
  </si>
  <si>
    <t>по бюджету квр 611+621+635</t>
  </si>
  <si>
    <t>Приложение к пояснительной записке</t>
  </si>
  <si>
    <t>801012О.99.0.БА81АБ44001</t>
  </si>
  <si>
    <t>Реализация основных общеобразовательных программ начального общего образования (дети-инвалиды, адаптированная образовательная программа)</t>
  </si>
  <si>
    <t>802111О.99.0.БА96АБ75001</t>
  </si>
  <si>
    <t>Реализация основных общеобразовательных программ основного общего образования (дети-инвалиды, адаптированная образовательная программа, проходящие обучение по состоянию здоровья на дому)</t>
  </si>
  <si>
    <t>Реализация дополнительных образовательных программ спортивной подготовки по олимпийским видам спорта  (учебно-тренировочный этап)(этап спортивной специализации)) прыжки на батуте</t>
  </si>
  <si>
    <t>Реализация дополнительных образовательных программ спортивной подготовки по олимпийским видам спорта   (учебно-тренировочный этап)(этап спортивной специализации)) бокс</t>
  </si>
  <si>
    <t>Реализация дополнительных образовательных программ спортивной подготовки по олимпийским видам спорта   (учебно-тренировочный этап)(этап спортивной специализации)) плавание</t>
  </si>
  <si>
    <t>Реализация дополнительных образовательных программ спортивной подготовки по олимпийским видам спорта  (учебно-тренировочный этап)(этап спортивной специализации)) баскетбол</t>
  </si>
  <si>
    <t>Реализация дополнительных образовательных программ спортивной подготовки по олимпийским видам спорта  (учебно-тренировочный этап)(этап спортивной специализации))футбол</t>
  </si>
  <si>
    <t>Реализация дополнительных образовательных программ спортивной подготовки по неолимпийским видам спорта  (этап  начальной подготовки) армреслинг</t>
  </si>
  <si>
    <t>Реализация дополнительных образовательных программ спортивной подготовки по неолимпийским видам спорта  (учебно-тренировочный этап)(этап спортивной специализации)) спортивная акробатика</t>
  </si>
  <si>
    <t>Реализация дополнительных образовательных программ спортивной подготовки по неолимпийским видам спорта  (учебно-тренировочный этап)(этап спортивной специализации)) пауэрлифтинг</t>
  </si>
  <si>
    <t>Реализация дополнительных образовательных программ спортивной подготовки по неолимпийским видам спорта  (учебно-тренировочный этап)(этап спортивной специализации))рукопашный бой</t>
  </si>
  <si>
    <t>Реализация дополнительных образовательных программ спортивной подготовки по неолимпийским видам спорта  (учебно-тренировочный этап)(этап спортивной специализации))киокусинкай</t>
  </si>
  <si>
    <t>Реализация дополнительных образовательных программ спортивной подготовки по неолимпийским видам спорта   (учебно-тренировочный этап)(этап спортивной специализации)) армрестлинг</t>
  </si>
  <si>
    <t>Реализация дополнительных образовательных программ спортивной подготовки по неолимпийским видам спорта   (учебно-тренировочный этап)(этап спортивной специализации))спортивная акробатика</t>
  </si>
  <si>
    <t>Реализация дополнительных образовательных программ спортивной подготовки по неолимпийским видам спорта   (этап спортивного совершенствования) армреслинг</t>
  </si>
  <si>
    <t>Реализация дополнительных образовательных программ спортивной подготовки по адаптивным видам спорта  (учебно-тренировочный этап)(этап спортивной специализации)) Спорт лиц с интелектуальными нарушениями</t>
  </si>
  <si>
    <t>Реализация дополнительных образовательных программ спортивной подготовки по адаптивным видам спорта   (учебно-тренировочный этап)(этап спортивной специализации)) Спорт лиц с поражением ОДА</t>
  </si>
  <si>
    <t>Реализация дополнительных образовательных программ спортивной подготовки по адаптивным видам спорта   (этап начальной подготовки) Спорт глухих</t>
  </si>
  <si>
    <t>Пропаганда физической культуры,спорта и здорового образа жизни</t>
  </si>
  <si>
    <t>Спортивная подготовка по олимпийским видам спорта, Фигурное катание (учебно-тренировочный этап)</t>
  </si>
  <si>
    <t>Спортивная подготовка по олимпийским видам спорта, Хоккей (учебно-тренировочный этап)</t>
  </si>
  <si>
    <t>Спортивная подготовка по олимпийским видам спорта, Футбол (учебно-тренировочный этап)</t>
  </si>
  <si>
    <t>Спортивная подготовка по олимпийским видам спорта, Конный спорт (учебно-тренировочный этап)</t>
  </si>
  <si>
    <t>Спортивная подготовка по олимпийским видам спорта, Лыжные гонки (учебно-тренировочный этап)</t>
  </si>
  <si>
    <t>Спортивная подготовка по неолимпийским видам спорта, Полиатлон (учебно-тренировочный этап)</t>
  </si>
  <si>
    <t>854100О.99.0.БО52АВ04001</t>
  </si>
  <si>
    <t>854100О.99.0.БО53АА32001</t>
  </si>
  <si>
    <t>854100О.99.0.БО53АА34001</t>
  </si>
  <si>
    <t>854100О.99.0.БО51АА00000</t>
  </si>
  <si>
    <t>931100.P.83.1.05860001000</t>
  </si>
  <si>
    <t>854100О.99.0.БО52АА73001</t>
  </si>
  <si>
    <t>854100О.99.0.БО52АБ89001</t>
  </si>
  <si>
    <t>801011О.99.0.БВ24ВТ42000</t>
  </si>
  <si>
    <t>Реализация основных общеобразовательных программ дошкольного образования (обучающиеся за исключением обучающихся с ограниченным возможностями здоровья (ОВЗ) и детей-инвалидов (от3 лет до 8 лет)</t>
  </si>
  <si>
    <t>802111О.99.0.БА96АЧ15001</t>
  </si>
  <si>
    <t>Реализация основных общеобразовательных программ основного общего образования (обучающиеся за исключением обучающихся с ограниченными возможностями здоровья (ОВЗ) и детей-инвалидов, очно-заочная с применением дистанционных образовательных технологий и электронного обучения)</t>
  </si>
  <si>
    <t>802112О.99.0.ББ11АР01001</t>
  </si>
  <si>
    <t>Реализация основных общеобразовательных программ среднего общего образования (образовательная программа, обеспечивающая углубленное изучение отдельных учебных предметов, предметных областей (профильное обучение), проходящие обучение по состоянию здоровья на дому)</t>
  </si>
  <si>
    <t>802112О.99.0.ББ11АЮ83001</t>
  </si>
  <si>
    <t>Реализация основных общеобразовательных программ среднего общего образования (проходящие обучение по состоянию здоровья на дому)</t>
  </si>
  <si>
    <t>804200О.99.0.ББ52АЕ04000</t>
  </si>
  <si>
    <t>Реализация дополнительных общеразвивающих программ (технической направленности)</t>
  </si>
  <si>
    <t>804200О.99.0.ББ52АЕ28000</t>
  </si>
  <si>
    <t>Реализация дополнительных общеразвивающих программ (естественнонаучной направленности)</t>
  </si>
  <si>
    <t>x</t>
  </si>
  <si>
    <t>СВЕДЕНИЯ
о выполнении муниципальными учреждениями муниципальных заданий на оказание муниципальных услуг (выполнение работ), а также об объемах субсидий на финансовое обеспечение выполнения муниципальных заданий на оказание соответствующих услуг (выполнения работ) за 2025 год</t>
  </si>
  <si>
    <t>920700О990А322АА01001</t>
  </si>
  <si>
    <t>Организация отдыха детей и молодежи (в учреждениях физической культуры и спорта)</t>
  </si>
  <si>
    <t>804200О.99.0.ББ52АЗ21000</t>
  </si>
  <si>
    <t>человеко-час</t>
  </si>
  <si>
    <t>804200О.99.0.ББ52АО93000</t>
  </si>
  <si>
    <t xml:space="preserve">854100О.99.0.БО52АБ56001 </t>
  </si>
  <si>
    <t>Реализация дополнительных образовательных программ спортивной подготовки по олимпийским видам спорта  (этап начальной подготовки) спортивная борьба</t>
  </si>
  <si>
    <t>Реализация дополнительных образовательных программ спортивной подготовки по олимпийским видам спорта (этап высшего спортивного совершенствования спортивного мастерства) прыжки на батуте</t>
  </si>
  <si>
    <t>854100О.99.0.БО53АД05000</t>
  </si>
  <si>
    <t>Реализация дополнительных образовательных программ спортивной подготовки по неолимпийским видам спорта   (учебно-тренировочный этап)(этап спортивной специализации))каратэ</t>
  </si>
  <si>
    <t>854100О.99.0.БО53АВ53001</t>
  </si>
  <si>
    <t>Реализация дополнительных образовательных программ спортивной подготовки по неолимпийским видам спорта   (учебно-тренировочный этап)(этап спортивной специализации)) самбо</t>
  </si>
  <si>
    <t>854100О.99.0.БО53АВ83001</t>
  </si>
  <si>
    <t>Реализация дополнительных образовательных программ спортивной подготовки по неолимпийским видам спорта (этап высшего спортивного мастерства) спортивная акробатика</t>
  </si>
  <si>
    <t>854100О.99.0.БО51АА10000</t>
  </si>
  <si>
    <t>Реализация дополнительных образовательных программ спортивной подготовки по адаптивным видам спорта  (этап спортивного совершенствования) Спорт лиц с поражением ОДА</t>
  </si>
  <si>
    <t>931100.Р.83.1.05640001004</t>
  </si>
  <si>
    <t>931900.P.83.1.06250005002</t>
  </si>
  <si>
    <t>931900.P.83.1.06250003002</t>
  </si>
  <si>
    <t>931900.P.83.1.06250006002</t>
  </si>
  <si>
    <t>931910.Р.83.1.05030001004</t>
  </si>
  <si>
    <t>количество сспортивных сборных команд</t>
  </si>
  <si>
    <t>931100.Р.83.1.05480001005</t>
  </si>
  <si>
    <t>931910.Р.83.1.00440001001</t>
  </si>
  <si>
    <t>931900.Р.83.1.05460001002</t>
  </si>
  <si>
    <t>920700О.99.0.А322АА01001</t>
  </si>
  <si>
    <t>Организация и обеспечение отдыха и оздоровления детей</t>
  </si>
  <si>
    <t>932919.Р.83.1.06150001003</t>
  </si>
  <si>
    <t>Организация мероприятий в сфере молодежной политики, направленных на формирование системы развития талантливой и инициативной молодежи, создание условий для самореализации подростков и молодежи,развитие творческого,профессионального,интеллектуального потенциалов подростков и молодежи</t>
  </si>
  <si>
    <t>932920.Р.83.1.05040001000</t>
  </si>
  <si>
    <t>Организация мероприятий в сфере молодежной политики, направленных на гражданское и патриотическое воспитание молодежи, воспитание толерантности в молодежной среде,формирование правовых, культурных и нравственных ценностей среди молодежи</t>
  </si>
  <si>
    <t>932919.Р.83.1.06090001004</t>
  </si>
  <si>
    <t>Организация мероприятий в сфере молодежной политики, направленных на вовлечение молодежи в инновационную,предпринимательскую,добровольческую деятельность,а так же на развитие гражданской активности молодежи и формирование здорового образа жизни</t>
  </si>
  <si>
    <t>932920.Р.83.1.05390001001</t>
  </si>
  <si>
    <t xml:space="preserve">Организация досуга детей, подростков и молодежи </t>
  </si>
  <si>
    <t>932919.Р.83.1.05390001000</t>
  </si>
  <si>
    <t>единица</t>
  </si>
  <si>
    <t>620900.Р.83.1.05050004000/620900.Р.86.1.05050006001</t>
  </si>
  <si>
    <t>802112.О.99.0.ББ55АД16000</t>
  </si>
  <si>
    <t>804200О.99.0.ББ52АЗ44000</t>
  </si>
  <si>
    <t>802112О.99.0.ББ55АА80000</t>
  </si>
  <si>
    <t>802112О.99.0.ББ55АБ92000</t>
  </si>
  <si>
    <t>802112О.99.0.ББ55АБ36000</t>
  </si>
  <si>
    <t>802112О.99.0.ББ55АЕ84000</t>
  </si>
  <si>
    <t>802112О.99.0.ББ55АА24000</t>
  </si>
  <si>
    <t>802112.О.99.0.ББ55АД41000</t>
  </si>
  <si>
    <t>804200О.99.0.ББ52АE77000</t>
  </si>
  <si>
    <t>802112.О.99.0.ББ55АЕ53000</t>
  </si>
  <si>
    <t>Реализация дополнительных предпрофессиональных программ в области искусств (живопись)</t>
  </si>
  <si>
    <t>Реализация дополнительных          
общеразвивающих программ</t>
  </si>
  <si>
    <t>реализация дополнительных общеобразовательных предпрофессиональных программ в области искусств (Струнные инструменты )</t>
  </si>
  <si>
    <t>реализация дополнительных общеобразовательных предпрофессиональных программ в области искусств (Народные инструменты)</t>
  </si>
  <si>
    <t>реализация дополнительных общеобразовательных предпрофессиональных программ в области искусств (Духовые и ударные инструменты )</t>
  </si>
  <si>
    <t>реализация дополнительных общеобразовательных предпрофессиональных программ в области искусств (Хореографическое творчество)</t>
  </si>
  <si>
    <t>реализация дополнительных общеобразовательных предпрофессиональных программ в области искусств (Фортепиано)</t>
  </si>
  <si>
    <t>Реализация дополнительных предпрофессиональных программ в области искусств (дизайн)</t>
  </si>
  <si>
    <t>человек/час</t>
  </si>
  <si>
    <t>чел-час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</si>
</sst>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#,##0;\ \-\ #,##0;\ \-"/>
    <numFmt numFmtId="165" formatCode="#,##0.00;\ \-\ #,##0.00;\ \-"/>
    <numFmt numFmtId="166" formatCode="#,##0.0000;\ \-\ #,##0.0000;\ \-"/>
    <numFmt numFmtId="167" formatCode="#,##0.00_ ;\-#,##0.00\ "/>
    <numFmt numFmtId="168" formatCode="_-* #,##0.00\ _₽_-;\-* #,##0.00\ _₽_-;_-* &quot;-&quot;??\ _₽_-;_-@_-"/>
    <numFmt numFmtId="169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2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9">
    <xf numFmtId="0" fontId="0" fillId="0" borderId="0" xfId="0"/>
    <xf numFmtId="0" fontId="8" fillId="0" borderId="0" xfId="0" applyFont="1" applyFill="1" applyBorder="1"/>
    <xf numFmtId="0" fontId="3" fillId="0" borderId="0" xfId="0" applyFont="1" applyFill="1"/>
    <xf numFmtId="0" fontId="17" fillId="0" borderId="0" xfId="0" applyFont="1" applyFill="1"/>
    <xf numFmtId="49" fontId="13" fillId="0" borderId="0" xfId="2" applyNumberFormat="1" applyFont="1" applyFill="1" applyBorder="1" applyAlignment="1" applyProtection="1">
      <alignment horizontal="right" indent="1"/>
    </xf>
    <xf numFmtId="166" fontId="6" fillId="0" borderId="0" xfId="0" applyNumberFormat="1" applyFont="1" applyFill="1" applyBorder="1"/>
    <xf numFmtId="43" fontId="14" fillId="0" borderId="0" xfId="1" applyFont="1" applyFill="1" applyBorder="1"/>
    <xf numFmtId="168" fontId="8" fillId="0" borderId="0" xfId="0" applyNumberFormat="1" applyFont="1" applyFill="1" applyBorder="1"/>
    <xf numFmtId="0" fontId="3" fillId="0" borderId="0" xfId="0" applyFont="1" applyFill="1" applyAlignment="1">
      <alignment horizontal="center" vertical="center"/>
    </xf>
    <xf numFmtId="0" fontId="8" fillId="0" borderId="0" xfId="0" applyFont="1" applyFill="1"/>
    <xf numFmtId="2" fontId="20" fillId="0" borderId="0" xfId="0" applyNumberFormat="1" applyFont="1" applyFill="1"/>
    <xf numFmtId="0" fontId="20" fillId="0" borderId="0" xfId="0" applyFont="1" applyFill="1"/>
    <xf numFmtId="4" fontId="20" fillId="0" borderId="0" xfId="0" applyNumberFormat="1" applyFont="1" applyFill="1"/>
    <xf numFmtId="4" fontId="21" fillId="0" borderId="0" xfId="0" applyNumberFormat="1" applyFont="1" applyFill="1" applyBorder="1" applyAlignment="1" applyProtection="1">
      <alignment horizontal="center" vertical="center"/>
      <protection locked="0"/>
    </xf>
    <xf numFmtId="167" fontId="20" fillId="0" borderId="0" xfId="0" applyNumberFormat="1" applyFont="1" applyFill="1"/>
    <xf numFmtId="2" fontId="21" fillId="0" borderId="0" xfId="0" applyNumberFormat="1" applyFont="1" applyFill="1" applyBorder="1" applyAlignment="1" applyProtection="1">
      <alignment horizontal="center" vertical="center"/>
      <protection locked="0"/>
    </xf>
    <xf numFmtId="4" fontId="20" fillId="0" borderId="0" xfId="0" applyNumberFormat="1" applyFont="1" applyFill="1" applyAlignment="1">
      <alignment horizontal="center" vertical="center"/>
    </xf>
    <xf numFmtId="4" fontId="22" fillId="0" borderId="0" xfId="0" applyNumberFormat="1" applyFont="1" applyFill="1" applyBorder="1" applyAlignment="1">
      <alignment horizontal="center" vertical="center"/>
    </xf>
    <xf numFmtId="2" fontId="20" fillId="0" borderId="0" xfId="0" applyNumberFormat="1" applyFont="1" applyFill="1" applyBorder="1"/>
    <xf numFmtId="0" fontId="20" fillId="0" borderId="0" xfId="0" applyFont="1" applyFill="1" applyBorder="1"/>
    <xf numFmtId="4" fontId="21" fillId="0" borderId="0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4" fontId="20" fillId="0" borderId="0" xfId="0" applyNumberFormat="1" applyFont="1" applyFill="1" applyBorder="1" applyAlignment="1">
      <alignment horizontal="center" vertical="center"/>
    </xf>
    <xf numFmtId="4" fontId="20" fillId="0" borderId="0" xfId="0" applyNumberFormat="1" applyFont="1" applyFill="1" applyBorder="1"/>
    <xf numFmtId="0" fontId="21" fillId="0" borderId="0" xfId="0" applyFont="1" applyFill="1"/>
    <xf numFmtId="2" fontId="21" fillId="0" borderId="0" xfId="0" applyNumberFormat="1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/>
    <xf numFmtId="4" fontId="7" fillId="0" borderId="0" xfId="0" applyNumberFormat="1" applyFont="1" applyFill="1"/>
    <xf numFmtId="0" fontId="9" fillId="0" borderId="0" xfId="0" applyFont="1" applyFill="1"/>
    <xf numFmtId="0" fontId="16" fillId="0" borderId="0" xfId="0" applyFont="1" applyFill="1" applyAlignment="1"/>
    <xf numFmtId="168" fontId="21" fillId="0" borderId="0" xfId="0" applyNumberFormat="1" applyFont="1" applyFill="1"/>
    <xf numFmtId="168" fontId="3" fillId="0" borderId="0" xfId="0" applyNumberFormat="1" applyFont="1" applyFill="1"/>
    <xf numFmtId="0" fontId="3" fillId="0" borderId="8" xfId="0" applyFont="1" applyFill="1" applyBorder="1" applyAlignment="1">
      <alignment wrapText="1"/>
    </xf>
    <xf numFmtId="0" fontId="3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4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wrapText="1"/>
    </xf>
    <xf numFmtId="0" fontId="4" fillId="2" borderId="28" xfId="0" applyFont="1" applyFill="1" applyBorder="1" applyAlignment="1">
      <alignment horizontal="center" vertical="center"/>
    </xf>
    <xf numFmtId="43" fontId="4" fillId="2" borderId="28" xfId="1" applyFont="1" applyFill="1" applyBorder="1" applyAlignment="1">
      <alignment horizontal="center" vertical="center"/>
    </xf>
    <xf numFmtId="4" fontId="4" fillId="2" borderId="28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 applyProtection="1">
      <alignment horizontal="center" vertical="center"/>
      <protection locked="0"/>
    </xf>
    <xf numFmtId="0" fontId="19" fillId="0" borderId="17" xfId="0" applyFont="1" applyFill="1" applyBorder="1" applyAlignment="1" applyProtection="1">
      <alignment horizontal="left" wrapText="1"/>
    </xf>
    <xf numFmtId="0" fontId="5" fillId="0" borderId="17" xfId="0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165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6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6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6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2" xfId="6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49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6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" xfId="6" applyFont="1" applyFill="1" applyBorder="1" applyAlignment="1">
      <alignment horizontal="left" vertical="center" wrapText="1"/>
    </xf>
    <xf numFmtId="3" fontId="3" fillId="3" borderId="1" xfId="6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2" xfId="6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2" xfId="0" applyNumberFormat="1" applyFont="1" applyFill="1" applyBorder="1" applyAlignment="1">
      <alignment horizontal="center" vertical="center" wrapText="1"/>
    </xf>
    <xf numFmtId="49" fontId="18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left"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0" fontId="4" fillId="0" borderId="5" xfId="0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/>
    </xf>
    <xf numFmtId="166" fontId="3" fillId="0" borderId="17" xfId="0" applyNumberFormat="1" applyFont="1" applyFill="1" applyBorder="1" applyAlignment="1" applyProtection="1">
      <alignment horizontal="center"/>
      <protection locked="0"/>
    </xf>
    <xf numFmtId="4" fontId="3" fillId="0" borderId="19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</xf>
    <xf numFmtId="1" fontId="3" fillId="3" borderId="1" xfId="0" applyNumberFormat="1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4" fontId="5" fillId="3" borderId="1" xfId="0" applyNumberFormat="1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vertical="center" wrapText="1"/>
    </xf>
    <xf numFmtId="165" fontId="5" fillId="3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  <protection locked="0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wrapText="1"/>
    </xf>
    <xf numFmtId="4" fontId="15" fillId="0" borderId="8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 applyProtection="1">
      <alignment horizontal="center" vertical="center"/>
      <protection locked="0"/>
    </xf>
    <xf numFmtId="0" fontId="18" fillId="0" borderId="17" xfId="0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3" fontId="3" fillId="0" borderId="17" xfId="0" applyNumberFormat="1" applyFont="1" applyFill="1" applyBorder="1" applyAlignment="1" applyProtection="1">
      <alignment horizontal="center" vertical="center"/>
    </xf>
    <xf numFmtId="4" fontId="3" fillId="0" borderId="8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/>
      <protection locked="0"/>
    </xf>
    <xf numFmtId="165" fontId="3" fillId="0" borderId="1" xfId="0" applyNumberFormat="1" applyFont="1" applyFill="1" applyBorder="1" applyAlignment="1" applyProtection="1">
      <alignment horizontal="center"/>
      <protection locked="0"/>
    </xf>
    <xf numFmtId="3" fontId="3" fillId="0" borderId="1" xfId="0" applyNumberFormat="1" applyFont="1" applyFill="1" applyBorder="1" applyAlignment="1" applyProtection="1">
      <alignment horizontal="center"/>
    </xf>
    <xf numFmtId="167" fontId="5" fillId="0" borderId="1" xfId="0" applyNumberFormat="1" applyFont="1" applyFill="1" applyBorder="1" applyAlignment="1">
      <alignment horizontal="center"/>
    </xf>
    <xf numFmtId="164" fontId="3" fillId="0" borderId="19" xfId="0" applyNumberFormat="1" applyFont="1" applyFill="1" applyBorder="1" applyAlignment="1" applyProtection="1">
      <alignment horizontal="center" vertical="center"/>
      <protection locked="0"/>
    </xf>
    <xf numFmtId="165" fontId="3" fillId="0" borderId="17" xfId="0" applyNumberFormat="1" applyFont="1" applyFill="1" applyBorder="1" applyAlignment="1" applyProtection="1">
      <alignment horizontal="center"/>
      <protection locked="0"/>
    </xf>
    <xf numFmtId="3" fontId="3" fillId="0" borderId="17" xfId="0" applyNumberFormat="1" applyFont="1" applyFill="1" applyBorder="1" applyAlignment="1" applyProtection="1">
      <alignment horizontal="center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34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3" xfId="0" applyNumberFormat="1" applyFont="1" applyFill="1" applyBorder="1" applyAlignment="1" applyProtection="1">
      <alignment horizontal="center" vertical="center"/>
      <protection locked="0"/>
    </xf>
    <xf numFmtId="165" fontId="5" fillId="3" borderId="3" xfId="0" applyNumberFormat="1" applyFont="1" applyFill="1" applyBorder="1" applyAlignment="1" applyProtection="1">
      <alignment horizontal="center" vertical="center"/>
      <protection locked="0"/>
    </xf>
    <xf numFmtId="1" fontId="3" fillId="3" borderId="3" xfId="0" applyNumberFormat="1" applyFont="1" applyFill="1" applyBorder="1" applyAlignment="1" applyProtection="1">
      <alignment horizontal="center" vertical="center"/>
      <protection locked="0"/>
    </xf>
    <xf numFmtId="4" fontId="3" fillId="3" borderId="3" xfId="0" applyNumberFormat="1" applyFont="1" applyFill="1" applyBorder="1" applyAlignment="1" applyProtection="1">
      <alignment horizontal="center" vertical="center"/>
      <protection locked="0"/>
    </xf>
    <xf numFmtId="4" fontId="3" fillId="3" borderId="13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wrapText="1"/>
    </xf>
    <xf numFmtId="0" fontId="4" fillId="0" borderId="20" xfId="0" applyFont="1" applyFill="1" applyBorder="1" applyAlignment="1">
      <alignment horizontal="center" vertical="center"/>
    </xf>
    <xf numFmtId="4" fontId="4" fillId="0" borderId="20" xfId="0" applyNumberFormat="1" applyFont="1" applyFill="1" applyBorder="1" applyAlignment="1">
      <alignment horizontal="center" vertical="center"/>
    </xf>
    <xf numFmtId="4" fontId="4" fillId="0" borderId="20" xfId="1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3" fontId="3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3" fontId="3" fillId="0" borderId="1" xfId="143" applyFont="1" applyFill="1" applyBorder="1" applyAlignment="1" applyProtection="1">
      <alignment horizontal="center" vertical="center"/>
      <protection locked="0"/>
    </xf>
    <xf numFmtId="43" fontId="5" fillId="0" borderId="1" xfId="143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3" xfId="0" applyNumberFormat="1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  <protection locked="0"/>
    </xf>
    <xf numFmtId="4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/>
    <xf numFmtId="1" fontId="5" fillId="0" borderId="3" xfId="0" applyNumberFormat="1" applyFont="1" applyFill="1" applyBorder="1" applyAlignment="1">
      <alignment horizontal="center"/>
    </xf>
    <xf numFmtId="43" fontId="3" fillId="0" borderId="7" xfId="28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43" fontId="5" fillId="0" borderId="17" xfId="289" applyFont="1" applyFill="1" applyBorder="1" applyAlignment="1">
      <alignment vertical="center"/>
    </xf>
    <xf numFmtId="169" fontId="3" fillId="0" borderId="17" xfId="289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43" fontId="3" fillId="0" borderId="3" xfId="289" applyFont="1" applyFill="1" applyBorder="1" applyAlignment="1">
      <alignment horizontal="center" vertical="center"/>
    </xf>
    <xf numFmtId="43" fontId="3" fillId="0" borderId="20" xfId="289" applyFont="1" applyFill="1" applyBorder="1" applyAlignment="1">
      <alignment horizontal="center" vertical="center"/>
    </xf>
    <xf numFmtId="43" fontId="5" fillId="0" borderId="3" xfId="289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8" xfId="0" applyFont="1" applyFill="1" applyBorder="1"/>
    <xf numFmtId="0" fontId="3" fillId="0" borderId="14" xfId="0" applyNumberFormat="1" applyFont="1" applyFill="1" applyBorder="1" applyAlignment="1" applyProtection="1">
      <alignment horizontal="left" vertical="center" wrapText="1"/>
      <protection locked="0"/>
    </xf>
    <xf numFmtId="43" fontId="3" fillId="0" borderId="1" xfId="289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19" xfId="0" applyFont="1" applyFill="1" applyBorder="1" applyAlignment="1">
      <alignment horizontal="center" vertical="center"/>
    </xf>
    <xf numFmtId="43" fontId="5" fillId="0" borderId="3" xfId="289" applyFont="1" applyFill="1" applyBorder="1" applyAlignment="1">
      <alignment horizontal="center"/>
    </xf>
    <xf numFmtId="43" fontId="5" fillId="0" borderId="1" xfId="28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 vertical="center"/>
    </xf>
    <xf numFmtId="0" fontId="5" fillId="0" borderId="17" xfId="0" applyFont="1" applyFill="1" applyBorder="1"/>
    <xf numFmtId="43" fontId="5" fillId="0" borderId="17" xfId="28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169" fontId="3" fillId="0" borderId="1" xfId="289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12" xfId="0" applyFont="1" applyFill="1" applyBorder="1" applyAlignment="1">
      <alignment horizontal="center" vertical="center" textRotation="90" wrapText="1"/>
    </xf>
    <xf numFmtId="0" fontId="4" fillId="0" borderId="15" xfId="0" applyFont="1" applyFill="1" applyBorder="1" applyAlignment="1">
      <alignment horizontal="center" vertical="center" textRotation="90" wrapText="1"/>
    </xf>
    <xf numFmtId="0" fontId="0" fillId="0" borderId="16" xfId="0" applyBorder="1" applyAlignment="1">
      <alignment horizontal="center" vertical="center" textRotation="90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49" fontId="5" fillId="3" borderId="15" xfId="0" applyNumberFormat="1" applyFont="1" applyFill="1" applyBorder="1" applyAlignment="1" applyProtection="1">
      <alignment horizontal="center" vertical="center"/>
      <protection locked="0"/>
    </xf>
    <xf numFmtId="49" fontId="5" fillId="3" borderId="9" xfId="0" applyNumberFormat="1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3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>
      <alignment horizontal="center" vertical="center" textRotation="90" wrapText="1"/>
    </xf>
    <xf numFmtId="0" fontId="4" fillId="0" borderId="25" xfId="0" applyFont="1" applyFill="1" applyBorder="1" applyAlignment="1">
      <alignment horizontal="center" vertical="center" textRotation="90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textRotation="90" wrapText="1"/>
    </xf>
    <xf numFmtId="0" fontId="4" fillId="0" borderId="22" xfId="0" applyFont="1" applyFill="1" applyBorder="1" applyAlignment="1">
      <alignment horizontal="center" vertical="center" textRotation="90" wrapText="1"/>
    </xf>
    <xf numFmtId="0" fontId="4" fillId="0" borderId="23" xfId="0" applyFont="1" applyFill="1" applyBorder="1" applyAlignment="1">
      <alignment horizontal="center" vertical="center" textRotation="90" wrapText="1"/>
    </xf>
    <xf numFmtId="0" fontId="4" fillId="0" borderId="26" xfId="0" applyFont="1" applyFill="1" applyBorder="1" applyAlignment="1">
      <alignment horizontal="center" vertical="center" textRotation="90" wrapText="1"/>
    </xf>
    <xf numFmtId="49" fontId="12" fillId="0" borderId="0" xfId="0" applyNumberFormat="1" applyFont="1" applyFill="1" applyBorder="1" applyAlignment="1">
      <alignment horizontal="left" indent="1"/>
    </xf>
    <xf numFmtId="49" fontId="12" fillId="0" borderId="0" xfId="0" applyNumberFormat="1" applyFont="1" applyFill="1" applyBorder="1" applyAlignment="1">
      <alignment horizontal="left" wrapText="1" indent="1"/>
    </xf>
    <xf numFmtId="14" fontId="12" fillId="0" borderId="0" xfId="0" applyNumberFormat="1" applyFont="1" applyFill="1" applyBorder="1" applyAlignment="1">
      <alignment horizontal="left" indent="1"/>
    </xf>
    <xf numFmtId="49" fontId="3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321">
    <cellStyle name="Обычный" xfId="0" builtinId="0"/>
    <cellStyle name="Обычный 2" xfId="6"/>
    <cellStyle name="Обычный 3" xfId="2"/>
    <cellStyle name="Финансовый" xfId="1" builtinId="3"/>
    <cellStyle name="Финансовый 10" xfId="98"/>
    <cellStyle name="Финансовый 10 2" xfId="257"/>
    <cellStyle name="Финансовый 11" xfId="162"/>
    <cellStyle name="Финансовый 2" xfId="3"/>
    <cellStyle name="Финансовый 2 2" xfId="8"/>
    <cellStyle name="Финансовый 2 2 2" xfId="16"/>
    <cellStyle name="Финансовый 2 2 2 2" xfId="47"/>
    <cellStyle name="Финансовый 2 2 2 2 2" xfId="143"/>
    <cellStyle name="Финансовый 2 2 2 2 2 2" xfId="302"/>
    <cellStyle name="Финансовый 2 2 2 2 3" xfId="206"/>
    <cellStyle name="Финансовый 2 2 2 3" xfId="79"/>
    <cellStyle name="Финансовый 2 2 2 3 2" xfId="238"/>
    <cellStyle name="Финансовый 2 2 2 4" xfId="111"/>
    <cellStyle name="Финансовый 2 2 2 4 2" xfId="270"/>
    <cellStyle name="Финансовый 2 2 2 5" xfId="175"/>
    <cellStyle name="Финансовый 2 2 3" xfId="24"/>
    <cellStyle name="Финансовый 2 2 3 2" xfId="55"/>
    <cellStyle name="Финансовый 2 2 3 2 2" xfId="151"/>
    <cellStyle name="Финансовый 2 2 3 2 2 2" xfId="310"/>
    <cellStyle name="Финансовый 2 2 3 2 3" xfId="214"/>
    <cellStyle name="Финансовый 2 2 3 3" xfId="87"/>
    <cellStyle name="Финансовый 2 2 3 3 2" xfId="246"/>
    <cellStyle name="Финансовый 2 2 3 4" xfId="119"/>
    <cellStyle name="Финансовый 2 2 3 4 2" xfId="278"/>
    <cellStyle name="Финансовый 2 2 3 5" xfId="183"/>
    <cellStyle name="Финансовый 2 2 4" xfId="32"/>
    <cellStyle name="Финансовый 2 2 4 2" xfId="63"/>
    <cellStyle name="Финансовый 2 2 4 2 2" xfId="159"/>
    <cellStyle name="Финансовый 2 2 4 2 2 2" xfId="318"/>
    <cellStyle name="Финансовый 2 2 4 2 3" xfId="222"/>
    <cellStyle name="Финансовый 2 2 4 3" xfId="95"/>
    <cellStyle name="Финансовый 2 2 4 3 2" xfId="254"/>
    <cellStyle name="Финансовый 2 2 4 4" xfId="127"/>
    <cellStyle name="Финансовый 2 2 4 4 2" xfId="286"/>
    <cellStyle name="Финансовый 2 2 4 5" xfId="191"/>
    <cellStyle name="Финансовый 2 2 5" xfId="39"/>
    <cellStyle name="Финансовый 2 2 5 2" xfId="135"/>
    <cellStyle name="Финансовый 2 2 5 2 2" xfId="294"/>
    <cellStyle name="Финансовый 2 2 5 3" xfId="198"/>
    <cellStyle name="Финансовый 2 2 6" xfId="71"/>
    <cellStyle name="Финансовый 2 2 6 2" xfId="230"/>
    <cellStyle name="Финансовый 2 2 7" xfId="103"/>
    <cellStyle name="Финансовый 2 2 7 2" xfId="262"/>
    <cellStyle name="Финансовый 2 2 8" xfId="167"/>
    <cellStyle name="Финансовый 2 3" xfId="12"/>
    <cellStyle name="Финансовый 2 3 2" xfId="43"/>
    <cellStyle name="Финансовый 2 3 2 2" xfId="139"/>
    <cellStyle name="Финансовый 2 3 2 2 2" xfId="298"/>
    <cellStyle name="Финансовый 2 3 2 3" xfId="202"/>
    <cellStyle name="Финансовый 2 3 3" xfId="75"/>
    <cellStyle name="Финансовый 2 3 3 2" xfId="234"/>
    <cellStyle name="Финансовый 2 3 4" xfId="107"/>
    <cellStyle name="Финансовый 2 3 4 2" xfId="266"/>
    <cellStyle name="Финансовый 2 3 5" xfId="171"/>
    <cellStyle name="Финансовый 2 4" xfId="20"/>
    <cellStyle name="Финансовый 2 4 2" xfId="51"/>
    <cellStyle name="Финансовый 2 4 2 2" xfId="147"/>
    <cellStyle name="Финансовый 2 4 2 2 2" xfId="306"/>
    <cellStyle name="Финансовый 2 4 2 3" xfId="210"/>
    <cellStyle name="Финансовый 2 4 3" xfId="83"/>
    <cellStyle name="Финансовый 2 4 3 2" xfId="242"/>
    <cellStyle name="Финансовый 2 4 4" xfId="115"/>
    <cellStyle name="Финансовый 2 4 4 2" xfId="274"/>
    <cellStyle name="Финансовый 2 4 5" xfId="179"/>
    <cellStyle name="Финансовый 2 5" xfId="28"/>
    <cellStyle name="Финансовый 2 5 2" xfId="59"/>
    <cellStyle name="Финансовый 2 5 2 2" xfId="155"/>
    <cellStyle name="Финансовый 2 5 2 2 2" xfId="314"/>
    <cellStyle name="Финансовый 2 5 2 3" xfId="218"/>
    <cellStyle name="Финансовый 2 5 3" xfId="91"/>
    <cellStyle name="Финансовый 2 5 3 2" xfId="250"/>
    <cellStyle name="Финансовый 2 5 4" xfId="123"/>
    <cellStyle name="Финансовый 2 5 4 2" xfId="282"/>
    <cellStyle name="Финансовый 2 5 5" xfId="187"/>
    <cellStyle name="Финансовый 2 6" xfId="35"/>
    <cellStyle name="Финансовый 2 6 2" xfId="131"/>
    <cellStyle name="Финансовый 2 6 2 2" xfId="290"/>
    <cellStyle name="Финансовый 2 6 3" xfId="194"/>
    <cellStyle name="Финансовый 2 7" xfId="67"/>
    <cellStyle name="Финансовый 2 7 2" xfId="226"/>
    <cellStyle name="Финансовый 2 8" xfId="99"/>
    <cellStyle name="Финансовый 2 8 2" xfId="258"/>
    <cellStyle name="Финансовый 2 9" xfId="163"/>
    <cellStyle name="Финансовый 3" xfId="4"/>
    <cellStyle name="Финансовый 3 2" xfId="9"/>
    <cellStyle name="Финансовый 3 2 2" xfId="17"/>
    <cellStyle name="Финансовый 3 2 2 2" xfId="48"/>
    <cellStyle name="Финансовый 3 2 2 2 2" xfId="144"/>
    <cellStyle name="Финансовый 3 2 2 2 2 2" xfId="303"/>
    <cellStyle name="Финансовый 3 2 2 2 3" xfId="207"/>
    <cellStyle name="Финансовый 3 2 2 3" xfId="80"/>
    <cellStyle name="Финансовый 3 2 2 3 2" xfId="239"/>
    <cellStyle name="Финансовый 3 2 2 4" xfId="112"/>
    <cellStyle name="Финансовый 3 2 2 4 2" xfId="271"/>
    <cellStyle name="Финансовый 3 2 2 5" xfId="176"/>
    <cellStyle name="Финансовый 3 2 3" xfId="25"/>
    <cellStyle name="Финансовый 3 2 3 2" xfId="56"/>
    <cellStyle name="Финансовый 3 2 3 2 2" xfId="152"/>
    <cellStyle name="Финансовый 3 2 3 2 2 2" xfId="311"/>
    <cellStyle name="Финансовый 3 2 3 2 3" xfId="215"/>
    <cellStyle name="Финансовый 3 2 3 3" xfId="88"/>
    <cellStyle name="Финансовый 3 2 3 3 2" xfId="247"/>
    <cellStyle name="Финансовый 3 2 3 4" xfId="120"/>
    <cellStyle name="Финансовый 3 2 3 4 2" xfId="279"/>
    <cellStyle name="Финансовый 3 2 3 5" xfId="184"/>
    <cellStyle name="Финансовый 3 2 4" xfId="33"/>
    <cellStyle name="Финансовый 3 2 4 2" xfId="64"/>
    <cellStyle name="Финансовый 3 2 4 2 2" xfId="160"/>
    <cellStyle name="Финансовый 3 2 4 2 2 2" xfId="319"/>
    <cellStyle name="Финансовый 3 2 4 2 3" xfId="223"/>
    <cellStyle name="Финансовый 3 2 4 3" xfId="96"/>
    <cellStyle name="Финансовый 3 2 4 3 2" xfId="255"/>
    <cellStyle name="Финансовый 3 2 4 4" xfId="128"/>
    <cellStyle name="Финансовый 3 2 4 4 2" xfId="287"/>
    <cellStyle name="Финансовый 3 2 4 5" xfId="192"/>
    <cellStyle name="Финансовый 3 2 5" xfId="40"/>
    <cellStyle name="Финансовый 3 2 5 2" xfId="136"/>
    <cellStyle name="Финансовый 3 2 5 2 2" xfId="295"/>
    <cellStyle name="Финансовый 3 2 5 3" xfId="199"/>
    <cellStyle name="Финансовый 3 2 6" xfId="72"/>
    <cellStyle name="Финансовый 3 2 6 2" xfId="231"/>
    <cellStyle name="Финансовый 3 2 7" xfId="104"/>
    <cellStyle name="Финансовый 3 2 7 2" xfId="263"/>
    <cellStyle name="Финансовый 3 2 8" xfId="168"/>
    <cellStyle name="Финансовый 3 3" xfId="13"/>
    <cellStyle name="Финансовый 3 3 2" xfId="44"/>
    <cellStyle name="Финансовый 3 3 2 2" xfId="140"/>
    <cellStyle name="Финансовый 3 3 2 2 2" xfId="299"/>
    <cellStyle name="Финансовый 3 3 2 3" xfId="203"/>
    <cellStyle name="Финансовый 3 3 3" xfId="76"/>
    <cellStyle name="Финансовый 3 3 3 2" xfId="235"/>
    <cellStyle name="Финансовый 3 3 4" xfId="108"/>
    <cellStyle name="Финансовый 3 3 4 2" xfId="267"/>
    <cellStyle name="Финансовый 3 3 5" xfId="172"/>
    <cellStyle name="Финансовый 3 4" xfId="21"/>
    <cellStyle name="Финансовый 3 4 2" xfId="52"/>
    <cellStyle name="Финансовый 3 4 2 2" xfId="148"/>
    <cellStyle name="Финансовый 3 4 2 2 2" xfId="307"/>
    <cellStyle name="Финансовый 3 4 2 3" xfId="211"/>
    <cellStyle name="Финансовый 3 4 3" xfId="84"/>
    <cellStyle name="Финансовый 3 4 3 2" xfId="243"/>
    <cellStyle name="Финансовый 3 4 4" xfId="116"/>
    <cellStyle name="Финансовый 3 4 4 2" xfId="275"/>
    <cellStyle name="Финансовый 3 4 5" xfId="180"/>
    <cellStyle name="Финансовый 3 5" xfId="29"/>
    <cellStyle name="Финансовый 3 5 2" xfId="60"/>
    <cellStyle name="Финансовый 3 5 2 2" xfId="156"/>
    <cellStyle name="Финансовый 3 5 2 2 2" xfId="315"/>
    <cellStyle name="Финансовый 3 5 2 3" xfId="219"/>
    <cellStyle name="Финансовый 3 5 3" xfId="92"/>
    <cellStyle name="Финансовый 3 5 3 2" xfId="251"/>
    <cellStyle name="Финансовый 3 5 4" xfId="124"/>
    <cellStyle name="Финансовый 3 5 4 2" xfId="283"/>
    <cellStyle name="Финансовый 3 5 5" xfId="188"/>
    <cellStyle name="Финансовый 3 6" xfId="36"/>
    <cellStyle name="Финансовый 3 6 2" xfId="132"/>
    <cellStyle name="Финансовый 3 6 2 2" xfId="291"/>
    <cellStyle name="Финансовый 3 6 3" xfId="195"/>
    <cellStyle name="Финансовый 3 7" xfId="68"/>
    <cellStyle name="Финансовый 3 7 2" xfId="227"/>
    <cellStyle name="Финансовый 3 8" xfId="100"/>
    <cellStyle name="Финансовый 3 8 2" xfId="259"/>
    <cellStyle name="Финансовый 3 9" xfId="164"/>
    <cellStyle name="Финансовый 4" xfId="5"/>
    <cellStyle name="Финансовый 4 2" xfId="10"/>
    <cellStyle name="Финансовый 4 2 2" xfId="18"/>
    <cellStyle name="Финансовый 4 2 2 2" xfId="49"/>
    <cellStyle name="Финансовый 4 2 2 2 2" xfId="145"/>
    <cellStyle name="Финансовый 4 2 2 2 2 2" xfId="304"/>
    <cellStyle name="Финансовый 4 2 2 2 3" xfId="208"/>
    <cellStyle name="Финансовый 4 2 2 3" xfId="81"/>
    <cellStyle name="Финансовый 4 2 2 3 2" xfId="240"/>
    <cellStyle name="Финансовый 4 2 2 4" xfId="113"/>
    <cellStyle name="Финансовый 4 2 2 4 2" xfId="272"/>
    <cellStyle name="Финансовый 4 2 2 5" xfId="177"/>
    <cellStyle name="Финансовый 4 2 3" xfId="26"/>
    <cellStyle name="Финансовый 4 2 3 2" xfId="57"/>
    <cellStyle name="Финансовый 4 2 3 2 2" xfId="153"/>
    <cellStyle name="Финансовый 4 2 3 2 2 2" xfId="312"/>
    <cellStyle name="Финансовый 4 2 3 2 3" xfId="216"/>
    <cellStyle name="Финансовый 4 2 3 3" xfId="89"/>
    <cellStyle name="Финансовый 4 2 3 3 2" xfId="248"/>
    <cellStyle name="Финансовый 4 2 3 4" xfId="121"/>
    <cellStyle name="Финансовый 4 2 3 4 2" xfId="280"/>
    <cellStyle name="Финансовый 4 2 3 5" xfId="185"/>
    <cellStyle name="Финансовый 4 2 4" xfId="34"/>
    <cellStyle name="Финансовый 4 2 4 2" xfId="65"/>
    <cellStyle name="Финансовый 4 2 4 2 2" xfId="161"/>
    <cellStyle name="Финансовый 4 2 4 2 2 2" xfId="320"/>
    <cellStyle name="Финансовый 4 2 4 2 3" xfId="224"/>
    <cellStyle name="Финансовый 4 2 4 3" xfId="97"/>
    <cellStyle name="Финансовый 4 2 4 3 2" xfId="256"/>
    <cellStyle name="Финансовый 4 2 4 4" xfId="129"/>
    <cellStyle name="Финансовый 4 2 4 4 2" xfId="288"/>
    <cellStyle name="Финансовый 4 2 4 5" xfId="193"/>
    <cellStyle name="Финансовый 4 2 5" xfId="41"/>
    <cellStyle name="Финансовый 4 2 5 2" xfId="137"/>
    <cellStyle name="Финансовый 4 2 5 2 2" xfId="296"/>
    <cellStyle name="Финансовый 4 2 5 3" xfId="200"/>
    <cellStyle name="Финансовый 4 2 6" xfId="73"/>
    <cellStyle name="Финансовый 4 2 6 2" xfId="232"/>
    <cellStyle name="Финансовый 4 2 7" xfId="105"/>
    <cellStyle name="Финансовый 4 2 7 2" xfId="264"/>
    <cellStyle name="Финансовый 4 2 8" xfId="169"/>
    <cellStyle name="Финансовый 4 3" xfId="14"/>
    <cellStyle name="Финансовый 4 3 2" xfId="45"/>
    <cellStyle name="Финансовый 4 3 2 2" xfId="141"/>
    <cellStyle name="Финансовый 4 3 2 2 2" xfId="300"/>
    <cellStyle name="Финансовый 4 3 2 3" xfId="204"/>
    <cellStyle name="Финансовый 4 3 3" xfId="77"/>
    <cellStyle name="Финансовый 4 3 3 2" xfId="236"/>
    <cellStyle name="Финансовый 4 3 4" xfId="109"/>
    <cellStyle name="Финансовый 4 3 4 2" xfId="268"/>
    <cellStyle name="Финансовый 4 3 5" xfId="173"/>
    <cellStyle name="Финансовый 4 4" xfId="22"/>
    <cellStyle name="Финансовый 4 4 2" xfId="53"/>
    <cellStyle name="Финансовый 4 4 2 2" xfId="149"/>
    <cellStyle name="Финансовый 4 4 2 2 2" xfId="308"/>
    <cellStyle name="Финансовый 4 4 2 3" xfId="212"/>
    <cellStyle name="Финансовый 4 4 3" xfId="85"/>
    <cellStyle name="Финансовый 4 4 3 2" xfId="244"/>
    <cellStyle name="Финансовый 4 4 4" xfId="117"/>
    <cellStyle name="Финансовый 4 4 4 2" xfId="276"/>
    <cellStyle name="Финансовый 4 4 5" xfId="181"/>
    <cellStyle name="Финансовый 4 5" xfId="30"/>
    <cellStyle name="Финансовый 4 5 2" xfId="61"/>
    <cellStyle name="Финансовый 4 5 2 2" xfId="157"/>
    <cellStyle name="Финансовый 4 5 2 2 2" xfId="316"/>
    <cellStyle name="Финансовый 4 5 2 3" xfId="220"/>
    <cellStyle name="Финансовый 4 5 3" xfId="93"/>
    <cellStyle name="Финансовый 4 5 3 2" xfId="252"/>
    <cellStyle name="Финансовый 4 5 4" xfId="125"/>
    <cellStyle name="Финансовый 4 5 4 2" xfId="284"/>
    <cellStyle name="Финансовый 4 5 5" xfId="189"/>
    <cellStyle name="Финансовый 4 6" xfId="37"/>
    <cellStyle name="Финансовый 4 6 2" xfId="133"/>
    <cellStyle name="Финансовый 4 6 2 2" xfId="292"/>
    <cellStyle name="Финансовый 4 6 3" xfId="196"/>
    <cellStyle name="Финансовый 4 7" xfId="69"/>
    <cellStyle name="Финансовый 4 7 2" xfId="228"/>
    <cellStyle name="Финансовый 4 8" xfId="101"/>
    <cellStyle name="Финансовый 4 8 2" xfId="260"/>
    <cellStyle name="Финансовый 4 9" xfId="165"/>
    <cellStyle name="Финансовый 5" xfId="7"/>
    <cellStyle name="Финансовый 5 2" xfId="15"/>
    <cellStyle name="Финансовый 5 2 2" xfId="46"/>
    <cellStyle name="Финансовый 5 2 2 2" xfId="142"/>
    <cellStyle name="Финансовый 5 2 2 2 2" xfId="301"/>
    <cellStyle name="Финансовый 5 2 2 3" xfId="205"/>
    <cellStyle name="Финансовый 5 2 3" xfId="78"/>
    <cellStyle name="Финансовый 5 2 3 2" xfId="237"/>
    <cellStyle name="Финансовый 5 2 4" xfId="110"/>
    <cellStyle name="Финансовый 5 2 4 2" xfId="269"/>
    <cellStyle name="Финансовый 5 2 5" xfId="174"/>
    <cellStyle name="Финансовый 5 3" xfId="23"/>
    <cellStyle name="Финансовый 5 3 2" xfId="54"/>
    <cellStyle name="Финансовый 5 3 2 2" xfId="150"/>
    <cellStyle name="Финансовый 5 3 2 2 2" xfId="309"/>
    <cellStyle name="Финансовый 5 3 2 3" xfId="213"/>
    <cellStyle name="Финансовый 5 3 3" xfId="86"/>
    <cellStyle name="Финансовый 5 3 3 2" xfId="245"/>
    <cellStyle name="Финансовый 5 3 4" xfId="118"/>
    <cellStyle name="Финансовый 5 3 4 2" xfId="277"/>
    <cellStyle name="Финансовый 5 3 5" xfId="182"/>
    <cellStyle name="Финансовый 5 4" xfId="31"/>
    <cellStyle name="Финансовый 5 4 2" xfId="62"/>
    <cellStyle name="Финансовый 5 4 2 2" xfId="158"/>
    <cellStyle name="Финансовый 5 4 2 2 2" xfId="317"/>
    <cellStyle name="Финансовый 5 4 2 3" xfId="221"/>
    <cellStyle name="Финансовый 5 4 3" xfId="94"/>
    <cellStyle name="Финансовый 5 4 3 2" xfId="253"/>
    <cellStyle name="Финансовый 5 4 4" xfId="126"/>
    <cellStyle name="Финансовый 5 4 4 2" xfId="285"/>
    <cellStyle name="Финансовый 5 4 5" xfId="190"/>
    <cellStyle name="Финансовый 5 5" xfId="38"/>
    <cellStyle name="Финансовый 5 5 2" xfId="134"/>
    <cellStyle name="Финансовый 5 5 2 2" xfId="293"/>
    <cellStyle name="Финансовый 5 5 3" xfId="197"/>
    <cellStyle name="Финансовый 5 6" xfId="70"/>
    <cellStyle name="Финансовый 5 6 2" xfId="229"/>
    <cellStyle name="Финансовый 5 7" xfId="102"/>
    <cellStyle name="Финансовый 5 7 2" xfId="261"/>
    <cellStyle name="Финансовый 5 8" xfId="166"/>
    <cellStyle name="Финансовый 6" xfId="11"/>
    <cellStyle name="Финансовый 6 2" xfId="42"/>
    <cellStyle name="Финансовый 6 2 2" xfId="138"/>
    <cellStyle name="Финансовый 6 2 2 2" xfId="297"/>
    <cellStyle name="Финансовый 6 2 3" xfId="201"/>
    <cellStyle name="Финансовый 6 3" xfId="74"/>
    <cellStyle name="Финансовый 6 3 2" xfId="233"/>
    <cellStyle name="Финансовый 6 4" xfId="106"/>
    <cellStyle name="Финансовый 6 4 2" xfId="265"/>
    <cellStyle name="Финансовый 6 5" xfId="170"/>
    <cellStyle name="Финансовый 7" xfId="19"/>
    <cellStyle name="Финансовый 7 2" xfId="50"/>
    <cellStyle name="Финансовый 7 2 2" xfId="146"/>
    <cellStyle name="Финансовый 7 2 2 2" xfId="305"/>
    <cellStyle name="Финансовый 7 2 3" xfId="209"/>
    <cellStyle name="Финансовый 7 3" xfId="82"/>
    <cellStyle name="Финансовый 7 3 2" xfId="241"/>
    <cellStyle name="Финансовый 7 4" xfId="114"/>
    <cellStyle name="Финансовый 7 4 2" xfId="273"/>
    <cellStyle name="Финансовый 7 5" xfId="178"/>
    <cellStyle name="Финансовый 8" xfId="27"/>
    <cellStyle name="Финансовый 8 2" xfId="58"/>
    <cellStyle name="Финансовый 8 2 2" xfId="154"/>
    <cellStyle name="Финансовый 8 2 2 2" xfId="313"/>
    <cellStyle name="Финансовый 8 2 3" xfId="217"/>
    <cellStyle name="Финансовый 8 3" xfId="90"/>
    <cellStyle name="Финансовый 8 3 2" xfId="249"/>
    <cellStyle name="Финансовый 8 4" xfId="122"/>
    <cellStyle name="Финансовый 8 4 2" xfId="281"/>
    <cellStyle name="Финансовый 8 5" xfId="186"/>
    <cellStyle name="Финансовый 9" xfId="66"/>
    <cellStyle name="Финансовый 9 2" xfId="130"/>
    <cellStyle name="Финансовый 9 2 2" xfId="289"/>
    <cellStyle name="Финансовый 9 3" xfId="2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0"/>
  <sheetViews>
    <sheetView tabSelected="1" zoomScaleNormal="100" workbookViewId="0">
      <selection activeCell="A7" sqref="A7"/>
    </sheetView>
  </sheetViews>
  <sheetFormatPr defaultRowHeight="15" x14ac:dyDescent="0.25"/>
  <cols>
    <col min="1" max="1" width="7.140625" style="9" customWidth="1"/>
    <col min="2" max="2" width="25" style="9" customWidth="1"/>
    <col min="3" max="3" width="61" style="9" customWidth="1"/>
    <col min="4" max="4" width="15.85546875" style="9" customWidth="1"/>
    <col min="5" max="5" width="12.5703125" style="9" customWidth="1"/>
    <col min="6" max="6" width="15.85546875" style="9" customWidth="1"/>
    <col min="7" max="7" width="13.28515625" style="9" customWidth="1"/>
    <col min="8" max="8" width="15.5703125" style="9" customWidth="1"/>
    <col min="9" max="9" width="11.7109375" style="9" customWidth="1"/>
    <col min="10" max="10" width="16" style="9" customWidth="1"/>
    <col min="11" max="11" width="14" style="9" customWidth="1"/>
    <col min="12" max="12" width="13.5703125" style="9" customWidth="1"/>
    <col min="13" max="13" width="15.28515625" style="10" bestFit="1" customWidth="1"/>
    <col min="14" max="14" width="20" style="10" customWidth="1"/>
    <col min="15" max="15" width="18.28515625" style="10" customWidth="1"/>
    <col min="16" max="16" width="9.28515625" style="11" bestFit="1" customWidth="1"/>
    <col min="17" max="17" width="18.85546875" style="11" customWidth="1"/>
    <col min="18" max="21" width="9.140625" style="11"/>
    <col min="22" max="251" width="9.140625" style="9"/>
    <col min="252" max="252" width="25" style="9" customWidth="1"/>
    <col min="253" max="253" width="35.28515625" style="9" customWidth="1"/>
    <col min="254" max="254" width="15.5703125" style="9" customWidth="1"/>
    <col min="255" max="255" width="12.7109375" style="9" customWidth="1"/>
    <col min="256" max="256" width="17.7109375" style="9" customWidth="1"/>
    <col min="257" max="257" width="10.7109375" style="9" customWidth="1"/>
    <col min="258" max="259" width="17.7109375" style="9" customWidth="1"/>
    <col min="260" max="260" width="25.7109375" style="9" customWidth="1"/>
    <col min="261" max="266" width="0" style="9" hidden="1" customWidth="1"/>
    <col min="267" max="507" width="9.140625" style="9"/>
    <col min="508" max="508" width="25" style="9" customWidth="1"/>
    <col min="509" max="509" width="35.28515625" style="9" customWidth="1"/>
    <col min="510" max="510" width="15.5703125" style="9" customWidth="1"/>
    <col min="511" max="511" width="12.7109375" style="9" customWidth="1"/>
    <col min="512" max="512" width="17.7109375" style="9" customWidth="1"/>
    <col min="513" max="513" width="10.7109375" style="9" customWidth="1"/>
    <col min="514" max="515" width="17.7109375" style="9" customWidth="1"/>
    <col min="516" max="516" width="25.7109375" style="9" customWidth="1"/>
    <col min="517" max="522" width="0" style="9" hidden="1" customWidth="1"/>
    <col min="523" max="763" width="9.140625" style="9"/>
    <col min="764" max="764" width="25" style="9" customWidth="1"/>
    <col min="765" max="765" width="35.28515625" style="9" customWidth="1"/>
    <col min="766" max="766" width="15.5703125" style="9" customWidth="1"/>
    <col min="767" max="767" width="12.7109375" style="9" customWidth="1"/>
    <col min="768" max="768" width="17.7109375" style="9" customWidth="1"/>
    <col min="769" max="769" width="10.7109375" style="9" customWidth="1"/>
    <col min="770" max="771" width="17.7109375" style="9" customWidth="1"/>
    <col min="772" max="772" width="25.7109375" style="9" customWidth="1"/>
    <col min="773" max="778" width="0" style="9" hidden="1" customWidth="1"/>
    <col min="779" max="1019" width="9.140625" style="9"/>
    <col min="1020" max="1020" width="25" style="9" customWidth="1"/>
    <col min="1021" max="1021" width="35.28515625" style="9" customWidth="1"/>
    <col min="1022" max="1022" width="15.5703125" style="9" customWidth="1"/>
    <col min="1023" max="1023" width="12.7109375" style="9" customWidth="1"/>
    <col min="1024" max="1024" width="17.7109375" style="9" customWidth="1"/>
    <col min="1025" max="1025" width="10.7109375" style="9" customWidth="1"/>
    <col min="1026" max="1027" width="17.7109375" style="9" customWidth="1"/>
    <col min="1028" max="1028" width="25.7109375" style="9" customWidth="1"/>
    <col min="1029" max="1034" width="0" style="9" hidden="1" customWidth="1"/>
    <col min="1035" max="1275" width="9.140625" style="9"/>
    <col min="1276" max="1276" width="25" style="9" customWidth="1"/>
    <col min="1277" max="1277" width="35.28515625" style="9" customWidth="1"/>
    <col min="1278" max="1278" width="15.5703125" style="9" customWidth="1"/>
    <col min="1279" max="1279" width="12.7109375" style="9" customWidth="1"/>
    <col min="1280" max="1280" width="17.7109375" style="9" customWidth="1"/>
    <col min="1281" max="1281" width="10.7109375" style="9" customWidth="1"/>
    <col min="1282" max="1283" width="17.7109375" style="9" customWidth="1"/>
    <col min="1284" max="1284" width="25.7109375" style="9" customWidth="1"/>
    <col min="1285" max="1290" width="0" style="9" hidden="1" customWidth="1"/>
    <col min="1291" max="1531" width="9.140625" style="9"/>
    <col min="1532" max="1532" width="25" style="9" customWidth="1"/>
    <col min="1533" max="1533" width="35.28515625" style="9" customWidth="1"/>
    <col min="1534" max="1534" width="15.5703125" style="9" customWidth="1"/>
    <col min="1535" max="1535" width="12.7109375" style="9" customWidth="1"/>
    <col min="1536" max="1536" width="17.7109375" style="9" customWidth="1"/>
    <col min="1537" max="1537" width="10.7109375" style="9" customWidth="1"/>
    <col min="1538" max="1539" width="17.7109375" style="9" customWidth="1"/>
    <col min="1540" max="1540" width="25.7109375" style="9" customWidth="1"/>
    <col min="1541" max="1546" width="0" style="9" hidden="1" customWidth="1"/>
    <col min="1547" max="1787" width="9.140625" style="9"/>
    <col min="1788" max="1788" width="25" style="9" customWidth="1"/>
    <col min="1789" max="1789" width="35.28515625" style="9" customWidth="1"/>
    <col min="1790" max="1790" width="15.5703125" style="9" customWidth="1"/>
    <col min="1791" max="1791" width="12.7109375" style="9" customWidth="1"/>
    <col min="1792" max="1792" width="17.7109375" style="9" customWidth="1"/>
    <col min="1793" max="1793" width="10.7109375" style="9" customWidth="1"/>
    <col min="1794" max="1795" width="17.7109375" style="9" customWidth="1"/>
    <col min="1796" max="1796" width="25.7109375" style="9" customWidth="1"/>
    <col min="1797" max="1802" width="0" style="9" hidden="1" customWidth="1"/>
    <col min="1803" max="2043" width="9.140625" style="9"/>
    <col min="2044" max="2044" width="25" style="9" customWidth="1"/>
    <col min="2045" max="2045" width="35.28515625" style="9" customWidth="1"/>
    <col min="2046" max="2046" width="15.5703125" style="9" customWidth="1"/>
    <col min="2047" max="2047" width="12.7109375" style="9" customWidth="1"/>
    <col min="2048" max="2048" width="17.7109375" style="9" customWidth="1"/>
    <col min="2049" max="2049" width="10.7109375" style="9" customWidth="1"/>
    <col min="2050" max="2051" width="17.7109375" style="9" customWidth="1"/>
    <col min="2052" max="2052" width="25.7109375" style="9" customWidth="1"/>
    <col min="2053" max="2058" width="0" style="9" hidden="1" customWidth="1"/>
    <col min="2059" max="2299" width="9.140625" style="9"/>
    <col min="2300" max="2300" width="25" style="9" customWidth="1"/>
    <col min="2301" max="2301" width="35.28515625" style="9" customWidth="1"/>
    <col min="2302" max="2302" width="15.5703125" style="9" customWidth="1"/>
    <col min="2303" max="2303" width="12.7109375" style="9" customWidth="1"/>
    <col min="2304" max="2304" width="17.7109375" style="9" customWidth="1"/>
    <col min="2305" max="2305" width="10.7109375" style="9" customWidth="1"/>
    <col min="2306" max="2307" width="17.7109375" style="9" customWidth="1"/>
    <col min="2308" max="2308" width="25.7109375" style="9" customWidth="1"/>
    <col min="2309" max="2314" width="0" style="9" hidden="1" customWidth="1"/>
    <col min="2315" max="2555" width="9.140625" style="9"/>
    <col min="2556" max="2556" width="25" style="9" customWidth="1"/>
    <col min="2557" max="2557" width="35.28515625" style="9" customWidth="1"/>
    <col min="2558" max="2558" width="15.5703125" style="9" customWidth="1"/>
    <col min="2559" max="2559" width="12.7109375" style="9" customWidth="1"/>
    <col min="2560" max="2560" width="17.7109375" style="9" customWidth="1"/>
    <col min="2561" max="2561" width="10.7109375" style="9" customWidth="1"/>
    <col min="2562" max="2563" width="17.7109375" style="9" customWidth="1"/>
    <col min="2564" max="2564" width="25.7109375" style="9" customWidth="1"/>
    <col min="2565" max="2570" width="0" style="9" hidden="1" customWidth="1"/>
    <col min="2571" max="2811" width="9.140625" style="9"/>
    <col min="2812" max="2812" width="25" style="9" customWidth="1"/>
    <col min="2813" max="2813" width="35.28515625" style="9" customWidth="1"/>
    <col min="2814" max="2814" width="15.5703125" style="9" customWidth="1"/>
    <col min="2815" max="2815" width="12.7109375" style="9" customWidth="1"/>
    <col min="2816" max="2816" width="17.7109375" style="9" customWidth="1"/>
    <col min="2817" max="2817" width="10.7109375" style="9" customWidth="1"/>
    <col min="2818" max="2819" width="17.7109375" style="9" customWidth="1"/>
    <col min="2820" max="2820" width="25.7109375" style="9" customWidth="1"/>
    <col min="2821" max="2826" width="0" style="9" hidden="1" customWidth="1"/>
    <col min="2827" max="3067" width="9.140625" style="9"/>
    <col min="3068" max="3068" width="25" style="9" customWidth="1"/>
    <col min="3069" max="3069" width="35.28515625" style="9" customWidth="1"/>
    <col min="3070" max="3070" width="15.5703125" style="9" customWidth="1"/>
    <col min="3071" max="3071" width="12.7109375" style="9" customWidth="1"/>
    <col min="3072" max="3072" width="17.7109375" style="9" customWidth="1"/>
    <col min="3073" max="3073" width="10.7109375" style="9" customWidth="1"/>
    <col min="3074" max="3075" width="17.7109375" style="9" customWidth="1"/>
    <col min="3076" max="3076" width="25.7109375" style="9" customWidth="1"/>
    <col min="3077" max="3082" width="0" style="9" hidden="1" customWidth="1"/>
    <col min="3083" max="3323" width="9.140625" style="9"/>
    <col min="3324" max="3324" width="25" style="9" customWidth="1"/>
    <col min="3325" max="3325" width="35.28515625" style="9" customWidth="1"/>
    <col min="3326" max="3326" width="15.5703125" style="9" customWidth="1"/>
    <col min="3327" max="3327" width="12.7109375" style="9" customWidth="1"/>
    <col min="3328" max="3328" width="17.7109375" style="9" customWidth="1"/>
    <col min="3329" max="3329" width="10.7109375" style="9" customWidth="1"/>
    <col min="3330" max="3331" width="17.7109375" style="9" customWidth="1"/>
    <col min="3332" max="3332" width="25.7109375" style="9" customWidth="1"/>
    <col min="3333" max="3338" width="0" style="9" hidden="1" customWidth="1"/>
    <col min="3339" max="3579" width="9.140625" style="9"/>
    <col min="3580" max="3580" width="25" style="9" customWidth="1"/>
    <col min="3581" max="3581" width="35.28515625" style="9" customWidth="1"/>
    <col min="3582" max="3582" width="15.5703125" style="9" customWidth="1"/>
    <col min="3583" max="3583" width="12.7109375" style="9" customWidth="1"/>
    <col min="3584" max="3584" width="17.7109375" style="9" customWidth="1"/>
    <col min="3585" max="3585" width="10.7109375" style="9" customWidth="1"/>
    <col min="3586" max="3587" width="17.7109375" style="9" customWidth="1"/>
    <col min="3588" max="3588" width="25.7109375" style="9" customWidth="1"/>
    <col min="3589" max="3594" width="0" style="9" hidden="1" customWidth="1"/>
    <col min="3595" max="3835" width="9.140625" style="9"/>
    <col min="3836" max="3836" width="25" style="9" customWidth="1"/>
    <col min="3837" max="3837" width="35.28515625" style="9" customWidth="1"/>
    <col min="3838" max="3838" width="15.5703125" style="9" customWidth="1"/>
    <col min="3839" max="3839" width="12.7109375" style="9" customWidth="1"/>
    <col min="3840" max="3840" width="17.7109375" style="9" customWidth="1"/>
    <col min="3841" max="3841" width="10.7109375" style="9" customWidth="1"/>
    <col min="3842" max="3843" width="17.7109375" style="9" customWidth="1"/>
    <col min="3844" max="3844" width="25.7109375" style="9" customWidth="1"/>
    <col min="3845" max="3850" width="0" style="9" hidden="1" customWidth="1"/>
    <col min="3851" max="4091" width="9.140625" style="9"/>
    <col min="4092" max="4092" width="25" style="9" customWidth="1"/>
    <col min="4093" max="4093" width="35.28515625" style="9" customWidth="1"/>
    <col min="4094" max="4094" width="15.5703125" style="9" customWidth="1"/>
    <col min="4095" max="4095" width="12.7109375" style="9" customWidth="1"/>
    <col min="4096" max="4096" width="17.7109375" style="9" customWidth="1"/>
    <col min="4097" max="4097" width="10.7109375" style="9" customWidth="1"/>
    <col min="4098" max="4099" width="17.7109375" style="9" customWidth="1"/>
    <col min="4100" max="4100" width="25.7109375" style="9" customWidth="1"/>
    <col min="4101" max="4106" width="0" style="9" hidden="1" customWidth="1"/>
    <col min="4107" max="4347" width="9.140625" style="9"/>
    <col min="4348" max="4348" width="25" style="9" customWidth="1"/>
    <col min="4349" max="4349" width="35.28515625" style="9" customWidth="1"/>
    <col min="4350" max="4350" width="15.5703125" style="9" customWidth="1"/>
    <col min="4351" max="4351" width="12.7109375" style="9" customWidth="1"/>
    <col min="4352" max="4352" width="17.7109375" style="9" customWidth="1"/>
    <col min="4353" max="4353" width="10.7109375" style="9" customWidth="1"/>
    <col min="4354" max="4355" width="17.7109375" style="9" customWidth="1"/>
    <col min="4356" max="4356" width="25.7109375" style="9" customWidth="1"/>
    <col min="4357" max="4362" width="0" style="9" hidden="1" customWidth="1"/>
    <col min="4363" max="4603" width="9.140625" style="9"/>
    <col min="4604" max="4604" width="25" style="9" customWidth="1"/>
    <col min="4605" max="4605" width="35.28515625" style="9" customWidth="1"/>
    <col min="4606" max="4606" width="15.5703125" style="9" customWidth="1"/>
    <col min="4607" max="4607" width="12.7109375" style="9" customWidth="1"/>
    <col min="4608" max="4608" width="17.7109375" style="9" customWidth="1"/>
    <col min="4609" max="4609" width="10.7109375" style="9" customWidth="1"/>
    <col min="4610" max="4611" width="17.7109375" style="9" customWidth="1"/>
    <col min="4612" max="4612" width="25.7109375" style="9" customWidth="1"/>
    <col min="4613" max="4618" width="0" style="9" hidden="1" customWidth="1"/>
    <col min="4619" max="4859" width="9.140625" style="9"/>
    <col min="4860" max="4860" width="25" style="9" customWidth="1"/>
    <col min="4861" max="4861" width="35.28515625" style="9" customWidth="1"/>
    <col min="4862" max="4862" width="15.5703125" style="9" customWidth="1"/>
    <col min="4863" max="4863" width="12.7109375" style="9" customWidth="1"/>
    <col min="4864" max="4864" width="17.7109375" style="9" customWidth="1"/>
    <col min="4865" max="4865" width="10.7109375" style="9" customWidth="1"/>
    <col min="4866" max="4867" width="17.7109375" style="9" customWidth="1"/>
    <col min="4868" max="4868" width="25.7109375" style="9" customWidth="1"/>
    <col min="4869" max="4874" width="0" style="9" hidden="1" customWidth="1"/>
    <col min="4875" max="5115" width="9.140625" style="9"/>
    <col min="5116" max="5116" width="25" style="9" customWidth="1"/>
    <col min="5117" max="5117" width="35.28515625" style="9" customWidth="1"/>
    <col min="5118" max="5118" width="15.5703125" style="9" customWidth="1"/>
    <col min="5119" max="5119" width="12.7109375" style="9" customWidth="1"/>
    <col min="5120" max="5120" width="17.7109375" style="9" customWidth="1"/>
    <col min="5121" max="5121" width="10.7109375" style="9" customWidth="1"/>
    <col min="5122" max="5123" width="17.7109375" style="9" customWidth="1"/>
    <col min="5124" max="5124" width="25.7109375" style="9" customWidth="1"/>
    <col min="5125" max="5130" width="0" style="9" hidden="1" customWidth="1"/>
    <col min="5131" max="5371" width="9.140625" style="9"/>
    <col min="5372" max="5372" width="25" style="9" customWidth="1"/>
    <col min="5373" max="5373" width="35.28515625" style="9" customWidth="1"/>
    <col min="5374" max="5374" width="15.5703125" style="9" customWidth="1"/>
    <col min="5375" max="5375" width="12.7109375" style="9" customWidth="1"/>
    <col min="5376" max="5376" width="17.7109375" style="9" customWidth="1"/>
    <col min="5377" max="5377" width="10.7109375" style="9" customWidth="1"/>
    <col min="5378" max="5379" width="17.7109375" style="9" customWidth="1"/>
    <col min="5380" max="5380" width="25.7109375" style="9" customWidth="1"/>
    <col min="5381" max="5386" width="0" style="9" hidden="1" customWidth="1"/>
    <col min="5387" max="5627" width="9.140625" style="9"/>
    <col min="5628" max="5628" width="25" style="9" customWidth="1"/>
    <col min="5629" max="5629" width="35.28515625" style="9" customWidth="1"/>
    <col min="5630" max="5630" width="15.5703125" style="9" customWidth="1"/>
    <col min="5631" max="5631" width="12.7109375" style="9" customWidth="1"/>
    <col min="5632" max="5632" width="17.7109375" style="9" customWidth="1"/>
    <col min="5633" max="5633" width="10.7109375" style="9" customWidth="1"/>
    <col min="5634" max="5635" width="17.7109375" style="9" customWidth="1"/>
    <col min="5636" max="5636" width="25.7109375" style="9" customWidth="1"/>
    <col min="5637" max="5642" width="0" style="9" hidden="1" customWidth="1"/>
    <col min="5643" max="5883" width="9.140625" style="9"/>
    <col min="5884" max="5884" width="25" style="9" customWidth="1"/>
    <col min="5885" max="5885" width="35.28515625" style="9" customWidth="1"/>
    <col min="5886" max="5886" width="15.5703125" style="9" customWidth="1"/>
    <col min="5887" max="5887" width="12.7109375" style="9" customWidth="1"/>
    <col min="5888" max="5888" width="17.7109375" style="9" customWidth="1"/>
    <col min="5889" max="5889" width="10.7109375" style="9" customWidth="1"/>
    <col min="5890" max="5891" width="17.7109375" style="9" customWidth="1"/>
    <col min="5892" max="5892" width="25.7109375" style="9" customWidth="1"/>
    <col min="5893" max="5898" width="0" style="9" hidden="1" customWidth="1"/>
    <col min="5899" max="6139" width="9.140625" style="9"/>
    <col min="6140" max="6140" width="25" style="9" customWidth="1"/>
    <col min="6141" max="6141" width="35.28515625" style="9" customWidth="1"/>
    <col min="6142" max="6142" width="15.5703125" style="9" customWidth="1"/>
    <col min="6143" max="6143" width="12.7109375" style="9" customWidth="1"/>
    <col min="6144" max="6144" width="17.7109375" style="9" customWidth="1"/>
    <col min="6145" max="6145" width="10.7109375" style="9" customWidth="1"/>
    <col min="6146" max="6147" width="17.7109375" style="9" customWidth="1"/>
    <col min="6148" max="6148" width="25.7109375" style="9" customWidth="1"/>
    <col min="6149" max="6154" width="0" style="9" hidden="1" customWidth="1"/>
    <col min="6155" max="6395" width="9.140625" style="9"/>
    <col min="6396" max="6396" width="25" style="9" customWidth="1"/>
    <col min="6397" max="6397" width="35.28515625" style="9" customWidth="1"/>
    <col min="6398" max="6398" width="15.5703125" style="9" customWidth="1"/>
    <col min="6399" max="6399" width="12.7109375" style="9" customWidth="1"/>
    <col min="6400" max="6400" width="17.7109375" style="9" customWidth="1"/>
    <col min="6401" max="6401" width="10.7109375" style="9" customWidth="1"/>
    <col min="6402" max="6403" width="17.7109375" style="9" customWidth="1"/>
    <col min="6404" max="6404" width="25.7109375" style="9" customWidth="1"/>
    <col min="6405" max="6410" width="0" style="9" hidden="1" customWidth="1"/>
    <col min="6411" max="6651" width="9.140625" style="9"/>
    <col min="6652" max="6652" width="25" style="9" customWidth="1"/>
    <col min="6653" max="6653" width="35.28515625" style="9" customWidth="1"/>
    <col min="6654" max="6654" width="15.5703125" style="9" customWidth="1"/>
    <col min="6655" max="6655" width="12.7109375" style="9" customWidth="1"/>
    <col min="6656" max="6656" width="17.7109375" style="9" customWidth="1"/>
    <col min="6657" max="6657" width="10.7109375" style="9" customWidth="1"/>
    <col min="6658" max="6659" width="17.7109375" style="9" customWidth="1"/>
    <col min="6660" max="6660" width="25.7109375" style="9" customWidth="1"/>
    <col min="6661" max="6666" width="0" style="9" hidden="1" customWidth="1"/>
    <col min="6667" max="6907" width="9.140625" style="9"/>
    <col min="6908" max="6908" width="25" style="9" customWidth="1"/>
    <col min="6909" max="6909" width="35.28515625" style="9" customWidth="1"/>
    <col min="6910" max="6910" width="15.5703125" style="9" customWidth="1"/>
    <col min="6911" max="6911" width="12.7109375" style="9" customWidth="1"/>
    <col min="6912" max="6912" width="17.7109375" style="9" customWidth="1"/>
    <col min="6913" max="6913" width="10.7109375" style="9" customWidth="1"/>
    <col min="6914" max="6915" width="17.7109375" style="9" customWidth="1"/>
    <col min="6916" max="6916" width="25.7109375" style="9" customWidth="1"/>
    <col min="6917" max="6922" width="0" style="9" hidden="1" customWidth="1"/>
    <col min="6923" max="7163" width="9.140625" style="9"/>
    <col min="7164" max="7164" width="25" style="9" customWidth="1"/>
    <col min="7165" max="7165" width="35.28515625" style="9" customWidth="1"/>
    <col min="7166" max="7166" width="15.5703125" style="9" customWidth="1"/>
    <col min="7167" max="7167" width="12.7109375" style="9" customWidth="1"/>
    <col min="7168" max="7168" width="17.7109375" style="9" customWidth="1"/>
    <col min="7169" max="7169" width="10.7109375" style="9" customWidth="1"/>
    <col min="7170" max="7171" width="17.7109375" style="9" customWidth="1"/>
    <col min="7172" max="7172" width="25.7109375" style="9" customWidth="1"/>
    <col min="7173" max="7178" width="0" style="9" hidden="1" customWidth="1"/>
    <col min="7179" max="7419" width="9.140625" style="9"/>
    <col min="7420" max="7420" width="25" style="9" customWidth="1"/>
    <col min="7421" max="7421" width="35.28515625" style="9" customWidth="1"/>
    <col min="7422" max="7422" width="15.5703125" style="9" customWidth="1"/>
    <col min="7423" max="7423" width="12.7109375" style="9" customWidth="1"/>
    <col min="7424" max="7424" width="17.7109375" style="9" customWidth="1"/>
    <col min="7425" max="7425" width="10.7109375" style="9" customWidth="1"/>
    <col min="7426" max="7427" width="17.7109375" style="9" customWidth="1"/>
    <col min="7428" max="7428" width="25.7109375" style="9" customWidth="1"/>
    <col min="7429" max="7434" width="0" style="9" hidden="1" customWidth="1"/>
    <col min="7435" max="7675" width="9.140625" style="9"/>
    <col min="7676" max="7676" width="25" style="9" customWidth="1"/>
    <col min="7677" max="7677" width="35.28515625" style="9" customWidth="1"/>
    <col min="7678" max="7678" width="15.5703125" style="9" customWidth="1"/>
    <col min="7679" max="7679" width="12.7109375" style="9" customWidth="1"/>
    <col min="7680" max="7680" width="17.7109375" style="9" customWidth="1"/>
    <col min="7681" max="7681" width="10.7109375" style="9" customWidth="1"/>
    <col min="7682" max="7683" width="17.7109375" style="9" customWidth="1"/>
    <col min="7684" max="7684" width="25.7109375" style="9" customWidth="1"/>
    <col min="7685" max="7690" width="0" style="9" hidden="1" customWidth="1"/>
    <col min="7691" max="7931" width="9.140625" style="9"/>
    <col min="7932" max="7932" width="25" style="9" customWidth="1"/>
    <col min="7933" max="7933" width="35.28515625" style="9" customWidth="1"/>
    <col min="7934" max="7934" width="15.5703125" style="9" customWidth="1"/>
    <col min="7935" max="7935" width="12.7109375" style="9" customWidth="1"/>
    <col min="7936" max="7936" width="17.7109375" style="9" customWidth="1"/>
    <col min="7937" max="7937" width="10.7109375" style="9" customWidth="1"/>
    <col min="7938" max="7939" width="17.7109375" style="9" customWidth="1"/>
    <col min="7940" max="7940" width="25.7109375" style="9" customWidth="1"/>
    <col min="7941" max="7946" width="0" style="9" hidden="1" customWidth="1"/>
    <col min="7947" max="8187" width="9.140625" style="9"/>
    <col min="8188" max="8188" width="25" style="9" customWidth="1"/>
    <col min="8189" max="8189" width="35.28515625" style="9" customWidth="1"/>
    <col min="8190" max="8190" width="15.5703125" style="9" customWidth="1"/>
    <col min="8191" max="8191" width="12.7109375" style="9" customWidth="1"/>
    <col min="8192" max="8192" width="17.7109375" style="9" customWidth="1"/>
    <col min="8193" max="8193" width="10.7109375" style="9" customWidth="1"/>
    <col min="8194" max="8195" width="17.7109375" style="9" customWidth="1"/>
    <col min="8196" max="8196" width="25.7109375" style="9" customWidth="1"/>
    <col min="8197" max="8202" width="0" style="9" hidden="1" customWidth="1"/>
    <col min="8203" max="8443" width="9.140625" style="9"/>
    <col min="8444" max="8444" width="25" style="9" customWidth="1"/>
    <col min="8445" max="8445" width="35.28515625" style="9" customWidth="1"/>
    <col min="8446" max="8446" width="15.5703125" style="9" customWidth="1"/>
    <col min="8447" max="8447" width="12.7109375" style="9" customWidth="1"/>
    <col min="8448" max="8448" width="17.7109375" style="9" customWidth="1"/>
    <col min="8449" max="8449" width="10.7109375" style="9" customWidth="1"/>
    <col min="8450" max="8451" width="17.7109375" style="9" customWidth="1"/>
    <col min="8452" max="8452" width="25.7109375" style="9" customWidth="1"/>
    <col min="8453" max="8458" width="0" style="9" hidden="1" customWidth="1"/>
    <col min="8459" max="8699" width="9.140625" style="9"/>
    <col min="8700" max="8700" width="25" style="9" customWidth="1"/>
    <col min="8701" max="8701" width="35.28515625" style="9" customWidth="1"/>
    <col min="8702" max="8702" width="15.5703125" style="9" customWidth="1"/>
    <col min="8703" max="8703" width="12.7109375" style="9" customWidth="1"/>
    <col min="8704" max="8704" width="17.7109375" style="9" customWidth="1"/>
    <col min="8705" max="8705" width="10.7109375" style="9" customWidth="1"/>
    <col min="8706" max="8707" width="17.7109375" style="9" customWidth="1"/>
    <col min="8708" max="8708" width="25.7109375" style="9" customWidth="1"/>
    <col min="8709" max="8714" width="0" style="9" hidden="1" customWidth="1"/>
    <col min="8715" max="8955" width="9.140625" style="9"/>
    <col min="8956" max="8956" width="25" style="9" customWidth="1"/>
    <col min="8957" max="8957" width="35.28515625" style="9" customWidth="1"/>
    <col min="8958" max="8958" width="15.5703125" style="9" customWidth="1"/>
    <col min="8959" max="8959" width="12.7109375" style="9" customWidth="1"/>
    <col min="8960" max="8960" width="17.7109375" style="9" customWidth="1"/>
    <col min="8961" max="8961" width="10.7109375" style="9" customWidth="1"/>
    <col min="8962" max="8963" width="17.7109375" style="9" customWidth="1"/>
    <col min="8964" max="8964" width="25.7109375" style="9" customWidth="1"/>
    <col min="8965" max="8970" width="0" style="9" hidden="1" customWidth="1"/>
    <col min="8971" max="9211" width="9.140625" style="9"/>
    <col min="9212" max="9212" width="25" style="9" customWidth="1"/>
    <col min="9213" max="9213" width="35.28515625" style="9" customWidth="1"/>
    <col min="9214" max="9214" width="15.5703125" style="9" customWidth="1"/>
    <col min="9215" max="9215" width="12.7109375" style="9" customWidth="1"/>
    <col min="9216" max="9216" width="17.7109375" style="9" customWidth="1"/>
    <col min="9217" max="9217" width="10.7109375" style="9" customWidth="1"/>
    <col min="9218" max="9219" width="17.7109375" style="9" customWidth="1"/>
    <col min="9220" max="9220" width="25.7109375" style="9" customWidth="1"/>
    <col min="9221" max="9226" width="0" style="9" hidden="1" customWidth="1"/>
    <col min="9227" max="9467" width="9.140625" style="9"/>
    <col min="9468" max="9468" width="25" style="9" customWidth="1"/>
    <col min="9469" max="9469" width="35.28515625" style="9" customWidth="1"/>
    <col min="9470" max="9470" width="15.5703125" style="9" customWidth="1"/>
    <col min="9471" max="9471" width="12.7109375" style="9" customWidth="1"/>
    <col min="9472" max="9472" width="17.7109375" style="9" customWidth="1"/>
    <col min="9473" max="9473" width="10.7109375" style="9" customWidth="1"/>
    <col min="9474" max="9475" width="17.7109375" style="9" customWidth="1"/>
    <col min="9476" max="9476" width="25.7109375" style="9" customWidth="1"/>
    <col min="9477" max="9482" width="0" style="9" hidden="1" customWidth="1"/>
    <col min="9483" max="9723" width="9.140625" style="9"/>
    <col min="9724" max="9724" width="25" style="9" customWidth="1"/>
    <col min="9725" max="9725" width="35.28515625" style="9" customWidth="1"/>
    <col min="9726" max="9726" width="15.5703125" style="9" customWidth="1"/>
    <col min="9727" max="9727" width="12.7109375" style="9" customWidth="1"/>
    <col min="9728" max="9728" width="17.7109375" style="9" customWidth="1"/>
    <col min="9729" max="9729" width="10.7109375" style="9" customWidth="1"/>
    <col min="9730" max="9731" width="17.7109375" style="9" customWidth="1"/>
    <col min="9732" max="9732" width="25.7109375" style="9" customWidth="1"/>
    <col min="9733" max="9738" width="0" style="9" hidden="1" customWidth="1"/>
    <col min="9739" max="9979" width="9.140625" style="9"/>
    <col min="9980" max="9980" width="25" style="9" customWidth="1"/>
    <col min="9981" max="9981" width="35.28515625" style="9" customWidth="1"/>
    <col min="9982" max="9982" width="15.5703125" style="9" customWidth="1"/>
    <col min="9983" max="9983" width="12.7109375" style="9" customWidth="1"/>
    <col min="9984" max="9984" width="17.7109375" style="9" customWidth="1"/>
    <col min="9985" max="9985" width="10.7109375" style="9" customWidth="1"/>
    <col min="9986" max="9987" width="17.7109375" style="9" customWidth="1"/>
    <col min="9988" max="9988" width="25.7109375" style="9" customWidth="1"/>
    <col min="9989" max="9994" width="0" style="9" hidden="1" customWidth="1"/>
    <col min="9995" max="10235" width="9.140625" style="9"/>
    <col min="10236" max="10236" width="25" style="9" customWidth="1"/>
    <col min="10237" max="10237" width="35.28515625" style="9" customWidth="1"/>
    <col min="10238" max="10238" width="15.5703125" style="9" customWidth="1"/>
    <col min="10239" max="10239" width="12.7109375" style="9" customWidth="1"/>
    <col min="10240" max="10240" width="17.7109375" style="9" customWidth="1"/>
    <col min="10241" max="10241" width="10.7109375" style="9" customWidth="1"/>
    <col min="10242" max="10243" width="17.7109375" style="9" customWidth="1"/>
    <col min="10244" max="10244" width="25.7109375" style="9" customWidth="1"/>
    <col min="10245" max="10250" width="0" style="9" hidden="1" customWidth="1"/>
    <col min="10251" max="10491" width="9.140625" style="9"/>
    <col min="10492" max="10492" width="25" style="9" customWidth="1"/>
    <col min="10493" max="10493" width="35.28515625" style="9" customWidth="1"/>
    <col min="10494" max="10494" width="15.5703125" style="9" customWidth="1"/>
    <col min="10495" max="10495" width="12.7109375" style="9" customWidth="1"/>
    <col min="10496" max="10496" width="17.7109375" style="9" customWidth="1"/>
    <col min="10497" max="10497" width="10.7109375" style="9" customWidth="1"/>
    <col min="10498" max="10499" width="17.7109375" style="9" customWidth="1"/>
    <col min="10500" max="10500" width="25.7109375" style="9" customWidth="1"/>
    <col min="10501" max="10506" width="0" style="9" hidden="1" customWidth="1"/>
    <col min="10507" max="10747" width="9.140625" style="9"/>
    <col min="10748" max="10748" width="25" style="9" customWidth="1"/>
    <col min="10749" max="10749" width="35.28515625" style="9" customWidth="1"/>
    <col min="10750" max="10750" width="15.5703125" style="9" customWidth="1"/>
    <col min="10751" max="10751" width="12.7109375" style="9" customWidth="1"/>
    <col min="10752" max="10752" width="17.7109375" style="9" customWidth="1"/>
    <col min="10753" max="10753" width="10.7109375" style="9" customWidth="1"/>
    <col min="10754" max="10755" width="17.7109375" style="9" customWidth="1"/>
    <col min="10756" max="10756" width="25.7109375" style="9" customWidth="1"/>
    <col min="10757" max="10762" width="0" style="9" hidden="1" customWidth="1"/>
    <col min="10763" max="11003" width="9.140625" style="9"/>
    <col min="11004" max="11004" width="25" style="9" customWidth="1"/>
    <col min="11005" max="11005" width="35.28515625" style="9" customWidth="1"/>
    <col min="11006" max="11006" width="15.5703125" style="9" customWidth="1"/>
    <col min="11007" max="11007" width="12.7109375" style="9" customWidth="1"/>
    <col min="11008" max="11008" width="17.7109375" style="9" customWidth="1"/>
    <col min="11009" max="11009" width="10.7109375" style="9" customWidth="1"/>
    <col min="11010" max="11011" width="17.7109375" style="9" customWidth="1"/>
    <col min="11012" max="11012" width="25.7109375" style="9" customWidth="1"/>
    <col min="11013" max="11018" width="0" style="9" hidden="1" customWidth="1"/>
    <col min="11019" max="11259" width="9.140625" style="9"/>
    <col min="11260" max="11260" width="25" style="9" customWidth="1"/>
    <col min="11261" max="11261" width="35.28515625" style="9" customWidth="1"/>
    <col min="11262" max="11262" width="15.5703125" style="9" customWidth="1"/>
    <col min="11263" max="11263" width="12.7109375" style="9" customWidth="1"/>
    <col min="11264" max="11264" width="17.7109375" style="9" customWidth="1"/>
    <col min="11265" max="11265" width="10.7109375" style="9" customWidth="1"/>
    <col min="11266" max="11267" width="17.7109375" style="9" customWidth="1"/>
    <col min="11268" max="11268" width="25.7109375" style="9" customWidth="1"/>
    <col min="11269" max="11274" width="0" style="9" hidden="1" customWidth="1"/>
    <col min="11275" max="11515" width="9.140625" style="9"/>
    <col min="11516" max="11516" width="25" style="9" customWidth="1"/>
    <col min="11517" max="11517" width="35.28515625" style="9" customWidth="1"/>
    <col min="11518" max="11518" width="15.5703125" style="9" customWidth="1"/>
    <col min="11519" max="11519" width="12.7109375" style="9" customWidth="1"/>
    <col min="11520" max="11520" width="17.7109375" style="9" customWidth="1"/>
    <col min="11521" max="11521" width="10.7109375" style="9" customWidth="1"/>
    <col min="11522" max="11523" width="17.7109375" style="9" customWidth="1"/>
    <col min="11524" max="11524" width="25.7109375" style="9" customWidth="1"/>
    <col min="11525" max="11530" width="0" style="9" hidden="1" customWidth="1"/>
    <col min="11531" max="11771" width="9.140625" style="9"/>
    <col min="11772" max="11772" width="25" style="9" customWidth="1"/>
    <col min="11773" max="11773" width="35.28515625" style="9" customWidth="1"/>
    <col min="11774" max="11774" width="15.5703125" style="9" customWidth="1"/>
    <col min="11775" max="11775" width="12.7109375" style="9" customWidth="1"/>
    <col min="11776" max="11776" width="17.7109375" style="9" customWidth="1"/>
    <col min="11777" max="11777" width="10.7109375" style="9" customWidth="1"/>
    <col min="11778" max="11779" width="17.7109375" style="9" customWidth="1"/>
    <col min="11780" max="11780" width="25.7109375" style="9" customWidth="1"/>
    <col min="11781" max="11786" width="0" style="9" hidden="1" customWidth="1"/>
    <col min="11787" max="12027" width="9.140625" style="9"/>
    <col min="12028" max="12028" width="25" style="9" customWidth="1"/>
    <col min="12029" max="12029" width="35.28515625" style="9" customWidth="1"/>
    <col min="12030" max="12030" width="15.5703125" style="9" customWidth="1"/>
    <col min="12031" max="12031" width="12.7109375" style="9" customWidth="1"/>
    <col min="12032" max="12032" width="17.7109375" style="9" customWidth="1"/>
    <col min="12033" max="12033" width="10.7109375" style="9" customWidth="1"/>
    <col min="12034" max="12035" width="17.7109375" style="9" customWidth="1"/>
    <col min="12036" max="12036" width="25.7109375" style="9" customWidth="1"/>
    <col min="12037" max="12042" width="0" style="9" hidden="1" customWidth="1"/>
    <col min="12043" max="12283" width="9.140625" style="9"/>
    <col min="12284" max="12284" width="25" style="9" customWidth="1"/>
    <col min="12285" max="12285" width="35.28515625" style="9" customWidth="1"/>
    <col min="12286" max="12286" width="15.5703125" style="9" customWidth="1"/>
    <col min="12287" max="12287" width="12.7109375" style="9" customWidth="1"/>
    <col min="12288" max="12288" width="17.7109375" style="9" customWidth="1"/>
    <col min="12289" max="12289" width="10.7109375" style="9" customWidth="1"/>
    <col min="12290" max="12291" width="17.7109375" style="9" customWidth="1"/>
    <col min="12292" max="12292" width="25.7109375" style="9" customWidth="1"/>
    <col min="12293" max="12298" width="0" style="9" hidden="1" customWidth="1"/>
    <col min="12299" max="12539" width="9.140625" style="9"/>
    <col min="12540" max="12540" width="25" style="9" customWidth="1"/>
    <col min="12541" max="12541" width="35.28515625" style="9" customWidth="1"/>
    <col min="12542" max="12542" width="15.5703125" style="9" customWidth="1"/>
    <col min="12543" max="12543" width="12.7109375" style="9" customWidth="1"/>
    <col min="12544" max="12544" width="17.7109375" style="9" customWidth="1"/>
    <col min="12545" max="12545" width="10.7109375" style="9" customWidth="1"/>
    <col min="12546" max="12547" width="17.7109375" style="9" customWidth="1"/>
    <col min="12548" max="12548" width="25.7109375" style="9" customWidth="1"/>
    <col min="12549" max="12554" width="0" style="9" hidden="1" customWidth="1"/>
    <col min="12555" max="12795" width="9.140625" style="9"/>
    <col min="12796" max="12796" width="25" style="9" customWidth="1"/>
    <col min="12797" max="12797" width="35.28515625" style="9" customWidth="1"/>
    <col min="12798" max="12798" width="15.5703125" style="9" customWidth="1"/>
    <col min="12799" max="12799" width="12.7109375" style="9" customWidth="1"/>
    <col min="12800" max="12800" width="17.7109375" style="9" customWidth="1"/>
    <col min="12801" max="12801" width="10.7109375" style="9" customWidth="1"/>
    <col min="12802" max="12803" width="17.7109375" style="9" customWidth="1"/>
    <col min="12804" max="12804" width="25.7109375" style="9" customWidth="1"/>
    <col min="12805" max="12810" width="0" style="9" hidden="1" customWidth="1"/>
    <col min="12811" max="13051" width="9.140625" style="9"/>
    <col min="13052" max="13052" width="25" style="9" customWidth="1"/>
    <col min="13053" max="13053" width="35.28515625" style="9" customWidth="1"/>
    <col min="13054" max="13054" width="15.5703125" style="9" customWidth="1"/>
    <col min="13055" max="13055" width="12.7109375" style="9" customWidth="1"/>
    <col min="13056" max="13056" width="17.7109375" style="9" customWidth="1"/>
    <col min="13057" max="13057" width="10.7109375" style="9" customWidth="1"/>
    <col min="13058" max="13059" width="17.7109375" style="9" customWidth="1"/>
    <col min="13060" max="13060" width="25.7109375" style="9" customWidth="1"/>
    <col min="13061" max="13066" width="0" style="9" hidden="1" customWidth="1"/>
    <col min="13067" max="13307" width="9.140625" style="9"/>
    <col min="13308" max="13308" width="25" style="9" customWidth="1"/>
    <col min="13309" max="13309" width="35.28515625" style="9" customWidth="1"/>
    <col min="13310" max="13310" width="15.5703125" style="9" customWidth="1"/>
    <col min="13311" max="13311" width="12.7109375" style="9" customWidth="1"/>
    <col min="13312" max="13312" width="17.7109375" style="9" customWidth="1"/>
    <col min="13313" max="13313" width="10.7109375" style="9" customWidth="1"/>
    <col min="13314" max="13315" width="17.7109375" style="9" customWidth="1"/>
    <col min="13316" max="13316" width="25.7109375" style="9" customWidth="1"/>
    <col min="13317" max="13322" width="0" style="9" hidden="1" customWidth="1"/>
    <col min="13323" max="13563" width="9.140625" style="9"/>
    <col min="13564" max="13564" width="25" style="9" customWidth="1"/>
    <col min="13565" max="13565" width="35.28515625" style="9" customWidth="1"/>
    <col min="13566" max="13566" width="15.5703125" style="9" customWidth="1"/>
    <col min="13567" max="13567" width="12.7109375" style="9" customWidth="1"/>
    <col min="13568" max="13568" width="17.7109375" style="9" customWidth="1"/>
    <col min="13569" max="13569" width="10.7109375" style="9" customWidth="1"/>
    <col min="13570" max="13571" width="17.7109375" style="9" customWidth="1"/>
    <col min="13572" max="13572" width="25.7109375" style="9" customWidth="1"/>
    <col min="13573" max="13578" width="0" style="9" hidden="1" customWidth="1"/>
    <col min="13579" max="13819" width="9.140625" style="9"/>
    <col min="13820" max="13820" width="25" style="9" customWidth="1"/>
    <col min="13821" max="13821" width="35.28515625" style="9" customWidth="1"/>
    <col min="13822" max="13822" width="15.5703125" style="9" customWidth="1"/>
    <col min="13823" max="13823" width="12.7109375" style="9" customWidth="1"/>
    <col min="13824" max="13824" width="17.7109375" style="9" customWidth="1"/>
    <col min="13825" max="13825" width="10.7109375" style="9" customWidth="1"/>
    <col min="13826" max="13827" width="17.7109375" style="9" customWidth="1"/>
    <col min="13828" max="13828" width="25.7109375" style="9" customWidth="1"/>
    <col min="13829" max="13834" width="0" style="9" hidden="1" customWidth="1"/>
    <col min="13835" max="14075" width="9.140625" style="9"/>
    <col min="14076" max="14076" width="25" style="9" customWidth="1"/>
    <col min="14077" max="14077" width="35.28515625" style="9" customWidth="1"/>
    <col min="14078" max="14078" width="15.5703125" style="9" customWidth="1"/>
    <col min="14079" max="14079" width="12.7109375" style="9" customWidth="1"/>
    <col min="14080" max="14080" width="17.7109375" style="9" customWidth="1"/>
    <col min="14081" max="14081" width="10.7109375" style="9" customWidth="1"/>
    <col min="14082" max="14083" width="17.7109375" style="9" customWidth="1"/>
    <col min="14084" max="14084" width="25.7109375" style="9" customWidth="1"/>
    <col min="14085" max="14090" width="0" style="9" hidden="1" customWidth="1"/>
    <col min="14091" max="14331" width="9.140625" style="9"/>
    <col min="14332" max="14332" width="25" style="9" customWidth="1"/>
    <col min="14333" max="14333" width="35.28515625" style="9" customWidth="1"/>
    <col min="14334" max="14334" width="15.5703125" style="9" customWidth="1"/>
    <col min="14335" max="14335" width="12.7109375" style="9" customWidth="1"/>
    <col min="14336" max="14336" width="17.7109375" style="9" customWidth="1"/>
    <col min="14337" max="14337" width="10.7109375" style="9" customWidth="1"/>
    <col min="14338" max="14339" width="17.7109375" style="9" customWidth="1"/>
    <col min="14340" max="14340" width="25.7109375" style="9" customWidth="1"/>
    <col min="14341" max="14346" width="0" style="9" hidden="1" customWidth="1"/>
    <col min="14347" max="14587" width="9.140625" style="9"/>
    <col min="14588" max="14588" width="25" style="9" customWidth="1"/>
    <col min="14589" max="14589" width="35.28515625" style="9" customWidth="1"/>
    <col min="14590" max="14590" width="15.5703125" style="9" customWidth="1"/>
    <col min="14591" max="14591" width="12.7109375" style="9" customWidth="1"/>
    <col min="14592" max="14592" width="17.7109375" style="9" customWidth="1"/>
    <col min="14593" max="14593" width="10.7109375" style="9" customWidth="1"/>
    <col min="14594" max="14595" width="17.7109375" style="9" customWidth="1"/>
    <col min="14596" max="14596" width="25.7109375" style="9" customWidth="1"/>
    <col min="14597" max="14602" width="0" style="9" hidden="1" customWidth="1"/>
    <col min="14603" max="14843" width="9.140625" style="9"/>
    <col min="14844" max="14844" width="25" style="9" customWidth="1"/>
    <col min="14845" max="14845" width="35.28515625" style="9" customWidth="1"/>
    <col min="14846" max="14846" width="15.5703125" style="9" customWidth="1"/>
    <col min="14847" max="14847" width="12.7109375" style="9" customWidth="1"/>
    <col min="14848" max="14848" width="17.7109375" style="9" customWidth="1"/>
    <col min="14849" max="14849" width="10.7109375" style="9" customWidth="1"/>
    <col min="14850" max="14851" width="17.7109375" style="9" customWidth="1"/>
    <col min="14852" max="14852" width="25.7109375" style="9" customWidth="1"/>
    <col min="14853" max="14858" width="0" style="9" hidden="1" customWidth="1"/>
    <col min="14859" max="15099" width="9.140625" style="9"/>
    <col min="15100" max="15100" width="25" style="9" customWidth="1"/>
    <col min="15101" max="15101" width="35.28515625" style="9" customWidth="1"/>
    <col min="15102" max="15102" width="15.5703125" style="9" customWidth="1"/>
    <col min="15103" max="15103" width="12.7109375" style="9" customWidth="1"/>
    <col min="15104" max="15104" width="17.7109375" style="9" customWidth="1"/>
    <col min="15105" max="15105" width="10.7109375" style="9" customWidth="1"/>
    <col min="15106" max="15107" width="17.7109375" style="9" customWidth="1"/>
    <col min="15108" max="15108" width="25.7109375" style="9" customWidth="1"/>
    <col min="15109" max="15114" width="0" style="9" hidden="1" customWidth="1"/>
    <col min="15115" max="15355" width="9.140625" style="9"/>
    <col min="15356" max="15356" width="25" style="9" customWidth="1"/>
    <col min="15357" max="15357" width="35.28515625" style="9" customWidth="1"/>
    <col min="15358" max="15358" width="15.5703125" style="9" customWidth="1"/>
    <col min="15359" max="15359" width="12.7109375" style="9" customWidth="1"/>
    <col min="15360" max="15360" width="17.7109375" style="9" customWidth="1"/>
    <col min="15361" max="15361" width="10.7109375" style="9" customWidth="1"/>
    <col min="15362" max="15363" width="17.7109375" style="9" customWidth="1"/>
    <col min="15364" max="15364" width="25.7109375" style="9" customWidth="1"/>
    <col min="15365" max="15370" width="0" style="9" hidden="1" customWidth="1"/>
    <col min="15371" max="15611" width="9.140625" style="9"/>
    <col min="15612" max="15612" width="25" style="9" customWidth="1"/>
    <col min="15613" max="15613" width="35.28515625" style="9" customWidth="1"/>
    <col min="15614" max="15614" width="15.5703125" style="9" customWidth="1"/>
    <col min="15615" max="15615" width="12.7109375" style="9" customWidth="1"/>
    <col min="15616" max="15616" width="17.7109375" style="9" customWidth="1"/>
    <col min="15617" max="15617" width="10.7109375" style="9" customWidth="1"/>
    <col min="15618" max="15619" width="17.7109375" style="9" customWidth="1"/>
    <col min="15620" max="15620" width="25.7109375" style="9" customWidth="1"/>
    <col min="15621" max="15626" width="0" style="9" hidden="1" customWidth="1"/>
    <col min="15627" max="15867" width="9.140625" style="9"/>
    <col min="15868" max="15868" width="25" style="9" customWidth="1"/>
    <col min="15869" max="15869" width="35.28515625" style="9" customWidth="1"/>
    <col min="15870" max="15870" width="15.5703125" style="9" customWidth="1"/>
    <col min="15871" max="15871" width="12.7109375" style="9" customWidth="1"/>
    <col min="15872" max="15872" width="17.7109375" style="9" customWidth="1"/>
    <col min="15873" max="15873" width="10.7109375" style="9" customWidth="1"/>
    <col min="15874" max="15875" width="17.7109375" style="9" customWidth="1"/>
    <col min="15876" max="15876" width="25.7109375" style="9" customWidth="1"/>
    <col min="15877" max="15882" width="0" style="9" hidden="1" customWidth="1"/>
    <col min="15883" max="16123" width="9.140625" style="9"/>
    <col min="16124" max="16124" width="25" style="9" customWidth="1"/>
    <col min="16125" max="16125" width="35.28515625" style="9" customWidth="1"/>
    <col min="16126" max="16126" width="15.5703125" style="9" customWidth="1"/>
    <col min="16127" max="16127" width="12.7109375" style="9" customWidth="1"/>
    <col min="16128" max="16128" width="17.7109375" style="9" customWidth="1"/>
    <col min="16129" max="16129" width="10.7109375" style="9" customWidth="1"/>
    <col min="16130" max="16131" width="17.7109375" style="9" customWidth="1"/>
    <col min="16132" max="16132" width="25.7109375" style="9" customWidth="1"/>
    <col min="16133" max="16138" width="0" style="9" hidden="1" customWidth="1"/>
    <col min="16139" max="16384" width="9.140625" style="9"/>
  </cols>
  <sheetData>
    <row r="1" spans="1:17" x14ac:dyDescent="0.25">
      <c r="B1" s="28"/>
      <c r="C1" s="28"/>
      <c r="D1" s="28"/>
      <c r="E1" s="28"/>
      <c r="F1" s="28"/>
      <c r="G1" s="28"/>
      <c r="J1" s="252" t="s">
        <v>250</v>
      </c>
      <c r="K1" s="253"/>
      <c r="L1" s="253"/>
    </row>
    <row r="2" spans="1:17" x14ac:dyDescent="0.25">
      <c r="B2" s="29"/>
      <c r="C2" s="29"/>
      <c r="D2" s="29"/>
      <c r="E2" s="29"/>
      <c r="F2" s="30"/>
      <c r="G2" s="29"/>
      <c r="H2" s="30"/>
      <c r="I2" s="30"/>
      <c r="J2" s="30"/>
      <c r="K2" s="29"/>
      <c r="L2" s="2"/>
    </row>
    <row r="3" spans="1:17" ht="40.5" customHeight="1" x14ac:dyDescent="0.25">
      <c r="B3" s="255" t="s">
        <v>298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</row>
    <row r="4" spans="1:17" x14ac:dyDescent="0.25">
      <c r="B4" s="29"/>
      <c r="C4" s="29"/>
      <c r="D4" s="29"/>
      <c r="E4" s="29"/>
      <c r="F4" s="29"/>
      <c r="G4" s="256"/>
      <c r="H4" s="256"/>
      <c r="I4" s="29"/>
      <c r="J4" s="29"/>
      <c r="K4" s="29"/>
      <c r="L4" s="29"/>
    </row>
    <row r="5" spans="1:17" ht="21" customHeight="1" x14ac:dyDescent="0.25">
      <c r="A5" s="254" t="s">
        <v>87</v>
      </c>
      <c r="B5" s="257" t="s">
        <v>86</v>
      </c>
      <c r="C5" s="257"/>
      <c r="D5" s="258" t="s">
        <v>11</v>
      </c>
      <c r="E5" s="258" t="s">
        <v>92</v>
      </c>
      <c r="F5" s="258"/>
      <c r="G5" s="257" t="s">
        <v>91</v>
      </c>
      <c r="H5" s="257"/>
      <c r="I5" s="257" t="s">
        <v>93</v>
      </c>
      <c r="J5" s="257"/>
      <c r="K5" s="257"/>
      <c r="L5" s="257"/>
    </row>
    <row r="6" spans="1:17" ht="51.75" customHeight="1" x14ac:dyDescent="0.25">
      <c r="A6" s="254"/>
      <c r="B6" s="55" t="s">
        <v>88</v>
      </c>
      <c r="C6" s="55" t="s">
        <v>10</v>
      </c>
      <c r="D6" s="258"/>
      <c r="E6" s="56" t="s">
        <v>90</v>
      </c>
      <c r="F6" s="57" t="s">
        <v>0</v>
      </c>
      <c r="G6" s="56" t="s">
        <v>90</v>
      </c>
      <c r="H6" s="57" t="s">
        <v>0</v>
      </c>
      <c r="I6" s="56" t="s">
        <v>90</v>
      </c>
      <c r="J6" s="57" t="s">
        <v>89</v>
      </c>
      <c r="K6" s="55" t="s">
        <v>23</v>
      </c>
      <c r="L6" s="55" t="s">
        <v>22</v>
      </c>
      <c r="M6" s="12">
        <v>3415388209</v>
      </c>
      <c r="N6" s="12">
        <v>3575030118.5500002</v>
      </c>
      <c r="O6" s="12">
        <v>3560637580.1199999</v>
      </c>
    </row>
    <row r="7" spans="1:17" ht="15.75" thickBot="1" x14ac:dyDescent="0.3">
      <c r="A7" s="217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58">
        <v>10</v>
      </c>
      <c r="K7" s="58">
        <v>11</v>
      </c>
      <c r="L7" s="58">
        <v>12</v>
      </c>
      <c r="M7" s="12">
        <f>M6-F8</f>
        <v>-595383491</v>
      </c>
      <c r="N7" s="12">
        <f>N6-H8</f>
        <v>-623824988.33272028</v>
      </c>
      <c r="O7" s="12">
        <f>O6-J8</f>
        <v>-607053904.27261829</v>
      </c>
      <c r="P7" s="10"/>
      <c r="Q7" s="10"/>
    </row>
    <row r="8" spans="1:17" ht="26.25" customHeight="1" thickBot="1" x14ac:dyDescent="0.3">
      <c r="A8" s="42" t="s">
        <v>14</v>
      </c>
      <c r="B8" s="43" t="s">
        <v>14</v>
      </c>
      <c r="C8" s="44" t="s">
        <v>13</v>
      </c>
      <c r="D8" s="45" t="s">
        <v>14</v>
      </c>
      <c r="E8" s="45" t="s">
        <v>14</v>
      </c>
      <c r="F8" s="46">
        <f>F9+F78+F100+F175+F178</f>
        <v>4010771700</v>
      </c>
      <c r="G8" s="45" t="s">
        <v>14</v>
      </c>
      <c r="H8" s="46">
        <f>H9+H78+H100+H175+H178</f>
        <v>4198855106.8827205</v>
      </c>
      <c r="I8" s="47" t="s">
        <v>14</v>
      </c>
      <c r="J8" s="46">
        <f>J9+J78+J100+J175+J178</f>
        <v>4167691484.3926182</v>
      </c>
      <c r="K8" s="45" t="s">
        <v>14</v>
      </c>
      <c r="L8" s="48" t="s">
        <v>14</v>
      </c>
      <c r="M8" s="13"/>
      <c r="N8" s="12"/>
      <c r="O8" s="13"/>
      <c r="P8" s="14"/>
    </row>
    <row r="9" spans="1:17" ht="28.5" customHeight="1" x14ac:dyDescent="0.25">
      <c r="A9" s="226" t="s">
        <v>12</v>
      </c>
      <c r="B9" s="36" t="s">
        <v>14</v>
      </c>
      <c r="C9" s="35" t="s">
        <v>19</v>
      </c>
      <c r="D9" s="36" t="s">
        <v>14</v>
      </c>
      <c r="E9" s="37" t="s">
        <v>14</v>
      </c>
      <c r="F9" s="154">
        <f>SUM(F10:F77)</f>
        <v>3298126700</v>
      </c>
      <c r="G9" s="36" t="s">
        <v>14</v>
      </c>
      <c r="H9" s="154">
        <f>SUM(H10:H77)</f>
        <v>3379861439.2199979</v>
      </c>
      <c r="I9" s="36" t="s">
        <v>14</v>
      </c>
      <c r="J9" s="154">
        <f>SUM(J10:J77)</f>
        <v>3356092022.9023514</v>
      </c>
      <c r="K9" s="36" t="s">
        <v>14</v>
      </c>
      <c r="L9" s="38" t="s">
        <v>14</v>
      </c>
      <c r="M9" s="13">
        <v>2793553400</v>
      </c>
      <c r="N9" s="13">
        <v>2886353866.9099998</v>
      </c>
      <c r="O9" s="13">
        <v>2874187388.8099999</v>
      </c>
      <c r="P9" s="15"/>
      <c r="Q9" s="15" t="s">
        <v>249</v>
      </c>
    </row>
    <row r="10" spans="1:17" ht="20.25" customHeight="1" x14ac:dyDescent="0.25">
      <c r="A10" s="227"/>
      <c r="B10" s="125" t="s">
        <v>113</v>
      </c>
      <c r="C10" s="126" t="s">
        <v>114</v>
      </c>
      <c r="D10" s="72" t="s">
        <v>21</v>
      </c>
      <c r="E10" s="155">
        <v>2721</v>
      </c>
      <c r="F10" s="156">
        <v>91477031.659999996</v>
      </c>
      <c r="G10" s="155">
        <v>2587</v>
      </c>
      <c r="H10" s="156">
        <v>91477031.659999996</v>
      </c>
      <c r="I10" s="155">
        <v>2587</v>
      </c>
      <c r="J10" s="156">
        <v>91372535.719999999</v>
      </c>
      <c r="K10" s="157">
        <f>G10-I10</f>
        <v>0</v>
      </c>
      <c r="L10" s="49"/>
      <c r="M10" s="13">
        <f>SUM(M9-F9)</f>
        <v>-504573300</v>
      </c>
      <c r="N10" s="13">
        <f>N9-H9</f>
        <v>-493507572.30999804</v>
      </c>
      <c r="O10" s="13">
        <f>O9-J9</f>
        <v>-481904634.09235144</v>
      </c>
      <c r="P10" s="15"/>
      <c r="Q10" s="15"/>
    </row>
    <row r="11" spans="1:17" x14ac:dyDescent="0.25">
      <c r="A11" s="227"/>
      <c r="B11" s="125" t="s">
        <v>115</v>
      </c>
      <c r="C11" s="126" t="s">
        <v>116</v>
      </c>
      <c r="D11" s="72" t="s">
        <v>21</v>
      </c>
      <c r="E11" s="155">
        <v>3498</v>
      </c>
      <c r="F11" s="156">
        <v>107281999.45</v>
      </c>
      <c r="G11" s="155">
        <v>3512</v>
      </c>
      <c r="H11" s="156">
        <v>107281999.45</v>
      </c>
      <c r="I11" s="155">
        <v>3512</v>
      </c>
      <c r="J11" s="156">
        <v>106383548.91</v>
      </c>
      <c r="K11" s="157">
        <f t="shared" ref="K11" si="0">I11-G11</f>
        <v>0</v>
      </c>
      <c r="L11" s="39"/>
      <c r="M11" s="13"/>
      <c r="N11" s="16"/>
    </row>
    <row r="12" spans="1:17" x14ac:dyDescent="0.25">
      <c r="A12" s="227"/>
      <c r="B12" s="125" t="s">
        <v>117</v>
      </c>
      <c r="C12" s="126" t="s">
        <v>118</v>
      </c>
      <c r="D12" s="72" t="s">
        <v>21</v>
      </c>
      <c r="E12" s="155">
        <v>638</v>
      </c>
      <c r="F12" s="156">
        <v>17557223.859999999</v>
      </c>
      <c r="G12" s="155">
        <v>656</v>
      </c>
      <c r="H12" s="156">
        <v>17557223.859999999</v>
      </c>
      <c r="I12" s="155">
        <v>656</v>
      </c>
      <c r="J12" s="156">
        <v>17435586.25</v>
      </c>
      <c r="K12" s="157"/>
      <c r="L12" s="39"/>
      <c r="M12" s="13"/>
      <c r="N12" s="16"/>
    </row>
    <row r="13" spans="1:17" ht="42.75" customHeight="1" x14ac:dyDescent="0.25">
      <c r="A13" s="227"/>
      <c r="B13" s="125" t="s">
        <v>63</v>
      </c>
      <c r="C13" s="126" t="s">
        <v>38</v>
      </c>
      <c r="D13" s="72" t="s">
        <v>21</v>
      </c>
      <c r="E13" s="155">
        <v>565</v>
      </c>
      <c r="F13" s="156">
        <v>329926995.81</v>
      </c>
      <c r="G13" s="155">
        <f>506+43</f>
        <v>549</v>
      </c>
      <c r="H13" s="156">
        <f>300989534.62+32876915.22-109.99</f>
        <v>333866339.85000002</v>
      </c>
      <c r="I13" s="155">
        <v>549</v>
      </c>
      <c r="J13" s="156">
        <f>299577508.05+32706610.55</f>
        <v>332284118.60000002</v>
      </c>
      <c r="K13" s="157">
        <f>I13-G13</f>
        <v>0</v>
      </c>
      <c r="L13" s="40"/>
      <c r="M13" s="12"/>
      <c r="N13" s="12"/>
      <c r="O13" s="12"/>
      <c r="P13" s="12"/>
      <c r="Q13" s="12"/>
    </row>
    <row r="14" spans="1:17" ht="40.5" customHeight="1" x14ac:dyDescent="0.25">
      <c r="A14" s="227"/>
      <c r="B14" s="125" t="s">
        <v>64</v>
      </c>
      <c r="C14" s="126" t="s">
        <v>39</v>
      </c>
      <c r="D14" s="72" t="s">
        <v>21</v>
      </c>
      <c r="E14" s="155">
        <v>34</v>
      </c>
      <c r="F14" s="156">
        <v>29306845.07</v>
      </c>
      <c r="G14" s="155">
        <v>33</v>
      </c>
      <c r="H14" s="156">
        <v>31306845.07</v>
      </c>
      <c r="I14" s="155">
        <v>33</v>
      </c>
      <c r="J14" s="156">
        <v>31198439.289999999</v>
      </c>
      <c r="K14" s="157">
        <f>I14-G14</f>
        <v>0</v>
      </c>
      <c r="L14" s="40"/>
      <c r="M14" s="12"/>
      <c r="N14" s="12"/>
      <c r="O14" s="12"/>
      <c r="P14" s="12"/>
      <c r="Q14" s="12"/>
    </row>
    <row r="15" spans="1:17" ht="54.75" customHeight="1" x14ac:dyDescent="0.25">
      <c r="A15" s="227"/>
      <c r="B15" s="125" t="s">
        <v>65</v>
      </c>
      <c r="C15" s="126" t="s">
        <v>119</v>
      </c>
      <c r="D15" s="72" t="s">
        <v>21</v>
      </c>
      <c r="E15" s="155">
        <v>585</v>
      </c>
      <c r="F15" s="156">
        <v>259705606.87</v>
      </c>
      <c r="G15" s="155">
        <v>578</v>
      </c>
      <c r="H15" s="156">
        <v>262889388.87</v>
      </c>
      <c r="I15" s="155">
        <v>578</v>
      </c>
      <c r="J15" s="156">
        <v>261398451.36000001</v>
      </c>
      <c r="K15" s="157">
        <v>0</v>
      </c>
      <c r="L15" s="39"/>
      <c r="M15" s="12"/>
      <c r="N15" s="12"/>
      <c r="O15" s="12"/>
      <c r="P15" s="12"/>
      <c r="Q15" s="12"/>
    </row>
    <row r="16" spans="1:17" ht="57.75" customHeight="1" x14ac:dyDescent="0.25">
      <c r="A16" s="227"/>
      <c r="B16" s="125" t="s">
        <v>285</v>
      </c>
      <c r="C16" s="126" t="s">
        <v>286</v>
      </c>
      <c r="D16" s="72" t="s">
        <v>21</v>
      </c>
      <c r="E16" s="155">
        <v>144</v>
      </c>
      <c r="F16" s="156">
        <v>68748761.319999993</v>
      </c>
      <c r="G16" s="155">
        <v>140</v>
      </c>
      <c r="H16" s="156">
        <v>69243356.719999999</v>
      </c>
      <c r="I16" s="155">
        <v>140</v>
      </c>
      <c r="J16" s="156">
        <v>68906905.549999997</v>
      </c>
      <c r="K16" s="157">
        <v>0</v>
      </c>
      <c r="L16" s="49"/>
      <c r="M16" s="12"/>
      <c r="N16" s="12"/>
      <c r="O16" s="12"/>
      <c r="P16" s="12"/>
      <c r="Q16" s="12"/>
    </row>
    <row r="17" spans="1:19" ht="55.5" customHeight="1" x14ac:dyDescent="0.25">
      <c r="A17" s="227"/>
      <c r="B17" s="125" t="s">
        <v>66</v>
      </c>
      <c r="C17" s="126" t="s">
        <v>120</v>
      </c>
      <c r="D17" s="72" t="s">
        <v>21</v>
      </c>
      <c r="E17" s="155">
        <v>1185</v>
      </c>
      <c r="F17" s="156">
        <v>545252736.17999995</v>
      </c>
      <c r="G17" s="155">
        <v>1176</v>
      </c>
      <c r="H17" s="156">
        <v>545752736.17999995</v>
      </c>
      <c r="I17" s="155">
        <v>1176</v>
      </c>
      <c r="J17" s="156">
        <f>543030320-1.89</f>
        <v>543030318.11000001</v>
      </c>
      <c r="K17" s="157">
        <f t="shared" ref="K17:K19" si="1">I17-G17</f>
        <v>0</v>
      </c>
      <c r="L17" s="41"/>
      <c r="M17" s="13"/>
      <c r="N17" s="13"/>
      <c r="O17" s="13"/>
      <c r="P17" s="13"/>
      <c r="Q17" s="13"/>
    </row>
    <row r="18" spans="1:19" ht="28.5" customHeight="1" x14ac:dyDescent="0.25">
      <c r="A18" s="227"/>
      <c r="B18" s="125" t="s">
        <v>67</v>
      </c>
      <c r="C18" s="126" t="s">
        <v>121</v>
      </c>
      <c r="D18" s="72" t="s">
        <v>21</v>
      </c>
      <c r="E18" s="155">
        <v>17</v>
      </c>
      <c r="F18" s="156">
        <v>4001200</v>
      </c>
      <c r="G18" s="155">
        <v>17</v>
      </c>
      <c r="H18" s="156">
        <v>4048897.08</v>
      </c>
      <c r="I18" s="155">
        <v>17</v>
      </c>
      <c r="J18" s="156">
        <v>3994777.2</v>
      </c>
      <c r="K18" s="157">
        <f t="shared" si="1"/>
        <v>0</v>
      </c>
      <c r="L18" s="41"/>
      <c r="M18" s="13"/>
      <c r="N18" s="16"/>
    </row>
    <row r="19" spans="1:19" ht="36" customHeight="1" x14ac:dyDescent="0.25">
      <c r="A19" s="227"/>
      <c r="B19" s="125" t="s">
        <v>68</v>
      </c>
      <c r="C19" s="126" t="s">
        <v>122</v>
      </c>
      <c r="D19" s="72" t="s">
        <v>21</v>
      </c>
      <c r="E19" s="155">
        <v>79</v>
      </c>
      <c r="F19" s="156">
        <f>12052054.75+679972.06-45400</f>
        <v>12686626.810000001</v>
      </c>
      <c r="G19" s="155">
        <v>69</v>
      </c>
      <c r="H19" s="156">
        <v>16433758.75</v>
      </c>
      <c r="I19" s="155">
        <v>69</v>
      </c>
      <c r="J19" s="156">
        <v>16214095.710000001</v>
      </c>
      <c r="K19" s="157">
        <f t="shared" si="1"/>
        <v>0</v>
      </c>
      <c r="L19" s="41"/>
      <c r="M19" s="13"/>
      <c r="N19" s="16"/>
    </row>
    <row r="20" spans="1:19" ht="45" customHeight="1" x14ac:dyDescent="0.25">
      <c r="A20" s="227"/>
      <c r="B20" s="125" t="s">
        <v>69</v>
      </c>
      <c r="C20" s="126" t="s">
        <v>123</v>
      </c>
      <c r="D20" s="72" t="s">
        <v>21</v>
      </c>
      <c r="E20" s="155">
        <v>197</v>
      </c>
      <c r="F20" s="158">
        <v>50240193.640000001</v>
      </c>
      <c r="G20" s="155">
        <v>190</v>
      </c>
      <c r="H20" s="156">
        <v>49545634.439999998</v>
      </c>
      <c r="I20" s="155">
        <v>190</v>
      </c>
      <c r="J20" s="156">
        <v>49247500.780000001</v>
      </c>
      <c r="K20" s="157">
        <f>I20-G20</f>
        <v>0</v>
      </c>
      <c r="L20" s="40"/>
      <c r="M20" s="13"/>
      <c r="N20" s="16"/>
    </row>
    <row r="21" spans="1:19" ht="55.5" customHeight="1" x14ac:dyDescent="0.25">
      <c r="A21" s="227"/>
      <c r="B21" s="125" t="s">
        <v>70</v>
      </c>
      <c r="C21" s="126" t="s">
        <v>124</v>
      </c>
      <c r="D21" s="72" t="s">
        <v>21</v>
      </c>
      <c r="E21" s="155">
        <v>40</v>
      </c>
      <c r="F21" s="158">
        <v>31935597.77</v>
      </c>
      <c r="G21" s="155">
        <v>37</v>
      </c>
      <c r="H21" s="156">
        <v>30205323.890000001</v>
      </c>
      <c r="I21" s="155">
        <v>37</v>
      </c>
      <c r="J21" s="156">
        <v>30082205.93</v>
      </c>
      <c r="K21" s="157">
        <f t="shared" ref="K21:K27" si="2">I21-G21</f>
        <v>0</v>
      </c>
      <c r="L21" s="41"/>
      <c r="M21" s="13"/>
      <c r="N21" s="16"/>
    </row>
    <row r="22" spans="1:19" ht="33" customHeight="1" x14ac:dyDescent="0.25">
      <c r="A22" s="227"/>
      <c r="B22" s="125" t="s">
        <v>251</v>
      </c>
      <c r="C22" s="126" t="s">
        <v>252</v>
      </c>
      <c r="D22" s="72" t="s">
        <v>21</v>
      </c>
      <c r="E22" s="155">
        <v>2</v>
      </c>
      <c r="F22" s="158">
        <v>465855.37</v>
      </c>
      <c r="G22" s="155">
        <v>1</v>
      </c>
      <c r="H22" s="156">
        <v>238170.42</v>
      </c>
      <c r="I22" s="155">
        <v>1</v>
      </c>
      <c r="J22" s="156">
        <v>234986.89</v>
      </c>
      <c r="K22" s="157">
        <f t="shared" si="2"/>
        <v>0</v>
      </c>
      <c r="L22" s="41"/>
      <c r="M22" s="13"/>
      <c r="N22" s="16"/>
    </row>
    <row r="23" spans="1:19" ht="39" x14ac:dyDescent="0.25">
      <c r="A23" s="227"/>
      <c r="B23" s="125" t="s">
        <v>125</v>
      </c>
      <c r="C23" s="126" t="s">
        <v>40</v>
      </c>
      <c r="D23" s="72" t="s">
        <v>21</v>
      </c>
      <c r="E23" s="155">
        <v>1</v>
      </c>
      <c r="F23" s="158">
        <v>232927.68</v>
      </c>
      <c r="G23" s="155">
        <v>1</v>
      </c>
      <c r="H23" s="156">
        <v>238170.42</v>
      </c>
      <c r="I23" s="155">
        <v>1</v>
      </c>
      <c r="J23" s="156">
        <v>234986.89</v>
      </c>
      <c r="K23" s="157">
        <f t="shared" si="2"/>
        <v>0</v>
      </c>
      <c r="L23" s="41"/>
      <c r="M23" s="13"/>
      <c r="N23" s="16"/>
    </row>
    <row r="24" spans="1:19" ht="25.5" customHeight="1" x14ac:dyDescent="0.25">
      <c r="A24" s="227"/>
      <c r="B24" s="125" t="s">
        <v>126</v>
      </c>
      <c r="C24" s="126" t="s">
        <v>41</v>
      </c>
      <c r="D24" s="72" t="s">
        <v>21</v>
      </c>
      <c r="E24" s="155">
        <v>923</v>
      </c>
      <c r="F24" s="158">
        <f>168743120.34+600000</f>
        <v>169343120.34</v>
      </c>
      <c r="G24" s="155">
        <v>911</v>
      </c>
      <c r="H24" s="156">
        <v>170297968.08000001</v>
      </c>
      <c r="I24" s="155">
        <v>911</v>
      </c>
      <c r="J24" s="156">
        <v>168571521.13999999</v>
      </c>
      <c r="K24" s="157">
        <f t="shared" si="2"/>
        <v>0</v>
      </c>
      <c r="L24" s="41"/>
      <c r="M24" s="13"/>
      <c r="N24" s="13"/>
      <c r="O24" s="13"/>
      <c r="P24" s="13"/>
      <c r="Q24" s="13"/>
    </row>
    <row r="25" spans="1:19" ht="63.75" customHeight="1" x14ac:dyDescent="0.25">
      <c r="A25" s="227"/>
      <c r="B25" s="125" t="s">
        <v>127</v>
      </c>
      <c r="C25" s="126" t="s">
        <v>208</v>
      </c>
      <c r="D25" s="72" t="s">
        <v>21</v>
      </c>
      <c r="E25" s="155">
        <v>1</v>
      </c>
      <c r="F25" s="158">
        <v>62423.58</v>
      </c>
      <c r="G25" s="155">
        <v>1</v>
      </c>
      <c r="H25" s="156">
        <v>63828.61</v>
      </c>
      <c r="I25" s="155">
        <v>1</v>
      </c>
      <c r="J25" s="156">
        <v>62532.47</v>
      </c>
      <c r="K25" s="157">
        <f t="shared" si="2"/>
        <v>0</v>
      </c>
      <c r="L25" s="41"/>
      <c r="M25" s="13"/>
      <c r="N25" s="13"/>
      <c r="O25" s="13"/>
      <c r="P25" s="13"/>
      <c r="Q25" s="13"/>
      <c r="R25" s="13"/>
      <c r="S25" s="13"/>
    </row>
    <row r="26" spans="1:19" ht="54" customHeight="1" x14ac:dyDescent="0.25">
      <c r="A26" s="227"/>
      <c r="B26" s="125" t="s">
        <v>128</v>
      </c>
      <c r="C26" s="126" t="s">
        <v>42</v>
      </c>
      <c r="D26" s="72" t="s">
        <v>21</v>
      </c>
      <c r="E26" s="155">
        <v>9</v>
      </c>
      <c r="F26" s="158">
        <v>4269945.67</v>
      </c>
      <c r="G26" s="155">
        <v>7</v>
      </c>
      <c r="H26" s="156">
        <v>3395819.47</v>
      </c>
      <c r="I26" s="155">
        <v>7</v>
      </c>
      <c r="J26" s="156">
        <v>3378192.52</v>
      </c>
      <c r="K26" s="157">
        <f t="shared" si="2"/>
        <v>0</v>
      </c>
      <c r="L26" s="39"/>
      <c r="M26" s="13"/>
      <c r="N26" s="16"/>
    </row>
    <row r="27" spans="1:19" ht="39.75" customHeight="1" x14ac:dyDescent="0.25">
      <c r="A27" s="227"/>
      <c r="B27" s="125" t="s">
        <v>129</v>
      </c>
      <c r="C27" s="126" t="s">
        <v>43</v>
      </c>
      <c r="D27" s="72" t="s">
        <v>21</v>
      </c>
      <c r="E27" s="155">
        <v>8</v>
      </c>
      <c r="F27" s="158">
        <v>8699838.5500000007</v>
      </c>
      <c r="G27" s="155">
        <v>7</v>
      </c>
      <c r="H27" s="156">
        <v>7783697.7000000002</v>
      </c>
      <c r="I27" s="155">
        <v>7</v>
      </c>
      <c r="J27" s="156">
        <v>7762089.4000000004</v>
      </c>
      <c r="K27" s="157">
        <f t="shared" si="2"/>
        <v>0</v>
      </c>
      <c r="L27" s="39"/>
      <c r="M27" s="13"/>
      <c r="N27" s="16"/>
    </row>
    <row r="28" spans="1:19" ht="39.75" customHeight="1" x14ac:dyDescent="0.25">
      <c r="A28" s="227"/>
      <c r="B28" s="125" t="s">
        <v>130</v>
      </c>
      <c r="C28" s="126" t="s">
        <v>44</v>
      </c>
      <c r="D28" s="72" t="s">
        <v>21</v>
      </c>
      <c r="E28" s="155">
        <v>11</v>
      </c>
      <c r="F28" s="158">
        <v>2063178</v>
      </c>
      <c r="G28" s="155">
        <v>9</v>
      </c>
      <c r="H28" s="156">
        <v>1726049.46</v>
      </c>
      <c r="I28" s="155">
        <v>9</v>
      </c>
      <c r="J28" s="156">
        <v>1708643.25</v>
      </c>
      <c r="K28" s="157">
        <f>I28-G28</f>
        <v>0</v>
      </c>
      <c r="L28" s="39"/>
      <c r="M28" s="13"/>
      <c r="N28" s="16"/>
    </row>
    <row r="29" spans="1:19" ht="39" customHeight="1" x14ac:dyDescent="0.25">
      <c r="A29" s="227"/>
      <c r="B29" s="125" t="s">
        <v>71</v>
      </c>
      <c r="C29" s="126" t="s">
        <v>45</v>
      </c>
      <c r="D29" s="72" t="s">
        <v>21</v>
      </c>
      <c r="E29" s="155">
        <v>7</v>
      </c>
      <c r="F29" s="158">
        <v>7590741.3399999999</v>
      </c>
      <c r="G29" s="155">
        <v>3</v>
      </c>
      <c r="H29" s="156">
        <v>3326397.32</v>
      </c>
      <c r="I29" s="155">
        <v>3</v>
      </c>
      <c r="J29" s="156">
        <v>3319368.86</v>
      </c>
      <c r="K29" s="157">
        <f t="shared" ref="K29:K56" si="3">I29-G29</f>
        <v>0</v>
      </c>
      <c r="L29" s="39"/>
      <c r="M29" s="13"/>
      <c r="N29" s="16"/>
    </row>
    <row r="30" spans="1:19" ht="33.75" customHeight="1" x14ac:dyDescent="0.25">
      <c r="A30" s="227"/>
      <c r="B30" s="125" t="s">
        <v>131</v>
      </c>
      <c r="C30" s="126" t="s">
        <v>46</v>
      </c>
      <c r="D30" s="72" t="s">
        <v>21</v>
      </c>
      <c r="E30" s="155">
        <v>1204</v>
      </c>
      <c r="F30" s="158">
        <v>216397502.03999999</v>
      </c>
      <c r="G30" s="155">
        <v>1187</v>
      </c>
      <c r="H30" s="156">
        <v>218143958.56999999</v>
      </c>
      <c r="I30" s="155">
        <v>1187</v>
      </c>
      <c r="J30" s="156">
        <v>216945074.38</v>
      </c>
      <c r="K30" s="157">
        <f t="shared" si="3"/>
        <v>0</v>
      </c>
      <c r="L30" s="39"/>
      <c r="M30" s="13"/>
      <c r="N30" s="16"/>
    </row>
    <row r="31" spans="1:19" ht="44.25" customHeight="1" x14ac:dyDescent="0.25">
      <c r="A31" s="227"/>
      <c r="B31" s="125" t="s">
        <v>132</v>
      </c>
      <c r="C31" s="126" t="s">
        <v>47</v>
      </c>
      <c r="D31" s="72" t="s">
        <v>21</v>
      </c>
      <c r="E31" s="155">
        <v>217</v>
      </c>
      <c r="F31" s="158">
        <v>40658308.689999998</v>
      </c>
      <c r="G31" s="155">
        <v>210</v>
      </c>
      <c r="H31" s="156">
        <v>40232367</v>
      </c>
      <c r="I31" s="155">
        <v>210</v>
      </c>
      <c r="J31" s="156">
        <v>39584185.200000003</v>
      </c>
      <c r="K31" s="157">
        <f t="shared" si="3"/>
        <v>0</v>
      </c>
      <c r="L31" s="39"/>
      <c r="M31" s="13"/>
      <c r="N31" s="16"/>
    </row>
    <row r="32" spans="1:19" ht="31.5" customHeight="1" x14ac:dyDescent="0.25">
      <c r="A32" s="227"/>
      <c r="B32" s="125" t="s">
        <v>72</v>
      </c>
      <c r="C32" s="126" t="s">
        <v>48</v>
      </c>
      <c r="D32" s="72" t="s">
        <v>21</v>
      </c>
      <c r="E32" s="155">
        <v>26</v>
      </c>
      <c r="F32" s="158">
        <v>14666132.49</v>
      </c>
      <c r="G32" s="155">
        <v>24</v>
      </c>
      <c r="H32" s="156">
        <v>13842681.050000001</v>
      </c>
      <c r="I32" s="155">
        <v>24</v>
      </c>
      <c r="J32" s="156">
        <v>13829588.939999999</v>
      </c>
      <c r="K32" s="157">
        <f t="shared" si="3"/>
        <v>0</v>
      </c>
      <c r="L32" s="39"/>
      <c r="M32" s="13"/>
      <c r="N32" s="16"/>
    </row>
    <row r="33" spans="1:14" ht="39.75" customHeight="1" x14ac:dyDescent="0.25">
      <c r="A33" s="227"/>
      <c r="B33" s="125" t="s">
        <v>133</v>
      </c>
      <c r="C33" s="126" t="s">
        <v>49</v>
      </c>
      <c r="D33" s="72" t="s">
        <v>21</v>
      </c>
      <c r="E33" s="155">
        <v>198</v>
      </c>
      <c r="F33" s="158">
        <v>45137727.490000002</v>
      </c>
      <c r="G33" s="155">
        <v>185</v>
      </c>
      <c r="H33" s="156">
        <v>43123394.850000001</v>
      </c>
      <c r="I33" s="155">
        <v>185</v>
      </c>
      <c r="J33" s="156">
        <v>42842319.969999999</v>
      </c>
      <c r="K33" s="157">
        <f t="shared" si="3"/>
        <v>0</v>
      </c>
      <c r="L33" s="39"/>
      <c r="M33" s="13"/>
      <c r="N33" s="16"/>
    </row>
    <row r="34" spans="1:14" ht="57" customHeight="1" x14ac:dyDescent="0.25">
      <c r="A34" s="227"/>
      <c r="B34" s="125" t="s">
        <v>73</v>
      </c>
      <c r="C34" s="126" t="s">
        <v>50</v>
      </c>
      <c r="D34" s="72" t="s">
        <v>21</v>
      </c>
      <c r="E34" s="155">
        <v>37</v>
      </c>
      <c r="F34" s="158">
        <v>23986050.18</v>
      </c>
      <c r="G34" s="155">
        <v>34</v>
      </c>
      <c r="H34" s="156">
        <v>22537339.420000002</v>
      </c>
      <c r="I34" s="155">
        <v>34</v>
      </c>
      <c r="J34" s="156">
        <v>22403816.789999999</v>
      </c>
      <c r="K34" s="157">
        <f t="shared" si="3"/>
        <v>0</v>
      </c>
      <c r="L34" s="39"/>
      <c r="M34" s="13"/>
      <c r="N34" s="16"/>
    </row>
    <row r="35" spans="1:14" ht="40.5" customHeight="1" x14ac:dyDescent="0.25">
      <c r="A35" s="227"/>
      <c r="B35" s="125" t="s">
        <v>253</v>
      </c>
      <c r="C35" s="126" t="s">
        <v>254</v>
      </c>
      <c r="D35" s="72" t="s">
        <v>21</v>
      </c>
      <c r="E35" s="155">
        <v>2</v>
      </c>
      <c r="F35" s="158">
        <v>465855.36</v>
      </c>
      <c r="G35" s="155">
        <v>2</v>
      </c>
      <c r="H35" s="156">
        <v>476340.83</v>
      </c>
      <c r="I35" s="155">
        <v>2</v>
      </c>
      <c r="J35" s="156">
        <v>469973.79</v>
      </c>
      <c r="K35" s="157">
        <f t="shared" si="3"/>
        <v>0</v>
      </c>
      <c r="L35" s="39"/>
      <c r="M35" s="13"/>
      <c r="N35" s="16"/>
    </row>
    <row r="36" spans="1:14" ht="43.5" customHeight="1" x14ac:dyDescent="0.25">
      <c r="A36" s="227"/>
      <c r="B36" s="125" t="s">
        <v>134</v>
      </c>
      <c r="C36" s="126" t="s">
        <v>51</v>
      </c>
      <c r="D36" s="72" t="s">
        <v>21</v>
      </c>
      <c r="E36" s="155">
        <v>1232</v>
      </c>
      <c r="F36" s="158">
        <v>242819857.36000001</v>
      </c>
      <c r="G36" s="155">
        <v>1222</v>
      </c>
      <c r="H36" s="156">
        <v>246269944.38</v>
      </c>
      <c r="I36" s="155">
        <v>1222</v>
      </c>
      <c r="J36" s="156">
        <v>244091387.06</v>
      </c>
      <c r="K36" s="157">
        <f t="shared" si="3"/>
        <v>0</v>
      </c>
      <c r="L36" s="39"/>
      <c r="M36" s="13"/>
      <c r="N36" s="16"/>
    </row>
    <row r="37" spans="1:14" ht="66.75" customHeight="1" x14ac:dyDescent="0.25">
      <c r="A37" s="227"/>
      <c r="B37" s="125" t="s">
        <v>287</v>
      </c>
      <c r="C37" s="126" t="s">
        <v>288</v>
      </c>
      <c r="D37" s="72" t="s">
        <v>21</v>
      </c>
      <c r="E37" s="155">
        <v>3</v>
      </c>
      <c r="F37" s="158">
        <v>187270.74</v>
      </c>
      <c r="G37" s="155">
        <v>2</v>
      </c>
      <c r="H37" s="156">
        <v>127657.22</v>
      </c>
      <c r="I37" s="155">
        <v>2</v>
      </c>
      <c r="J37" s="156">
        <v>125064.94</v>
      </c>
      <c r="K37" s="157">
        <f t="shared" si="3"/>
        <v>0</v>
      </c>
      <c r="L37" s="39"/>
      <c r="M37" s="13"/>
      <c r="N37" s="16"/>
    </row>
    <row r="38" spans="1:14" ht="51.75" x14ac:dyDescent="0.25">
      <c r="A38" s="227"/>
      <c r="B38" s="125" t="s">
        <v>74</v>
      </c>
      <c r="C38" s="126" t="s">
        <v>52</v>
      </c>
      <c r="D38" s="72" t="s">
        <v>21</v>
      </c>
      <c r="E38" s="155">
        <v>7</v>
      </c>
      <c r="F38" s="158">
        <v>3997298.89</v>
      </c>
      <c r="G38" s="155">
        <v>5</v>
      </c>
      <c r="H38" s="156">
        <v>2919478.64</v>
      </c>
      <c r="I38" s="155">
        <v>5</v>
      </c>
      <c r="J38" s="156">
        <v>2908218.73</v>
      </c>
      <c r="K38" s="157">
        <f t="shared" si="3"/>
        <v>0</v>
      </c>
      <c r="L38" s="39"/>
      <c r="M38" s="13"/>
      <c r="N38" s="16"/>
    </row>
    <row r="39" spans="1:14" ht="39" customHeight="1" x14ac:dyDescent="0.25">
      <c r="A39" s="227"/>
      <c r="B39" s="125" t="s">
        <v>75</v>
      </c>
      <c r="C39" s="126" t="s">
        <v>53</v>
      </c>
      <c r="D39" s="72" t="s">
        <v>21</v>
      </c>
      <c r="E39" s="155">
        <v>12</v>
      </c>
      <c r="F39" s="158">
        <v>12984905.67</v>
      </c>
      <c r="G39" s="155">
        <v>12</v>
      </c>
      <c r="H39" s="156">
        <v>13277169.93</v>
      </c>
      <c r="I39" s="155">
        <v>12</v>
      </c>
      <c r="J39" s="156">
        <v>13255752.75</v>
      </c>
      <c r="K39" s="157">
        <f t="shared" si="3"/>
        <v>0</v>
      </c>
      <c r="L39" s="39"/>
      <c r="M39" s="13"/>
      <c r="N39" s="16"/>
    </row>
    <row r="40" spans="1:14" ht="26.25" x14ac:dyDescent="0.25">
      <c r="A40" s="227"/>
      <c r="B40" s="125" t="s">
        <v>76</v>
      </c>
      <c r="C40" s="126" t="s">
        <v>54</v>
      </c>
      <c r="D40" s="72" t="s">
        <v>21</v>
      </c>
      <c r="E40" s="155">
        <v>15</v>
      </c>
      <c r="F40" s="158">
        <v>2852116.98</v>
      </c>
      <c r="G40" s="155">
        <v>15</v>
      </c>
      <c r="H40" s="156">
        <v>2916312.43</v>
      </c>
      <c r="I40" s="155">
        <v>15</v>
      </c>
      <c r="J40" s="156">
        <v>2895309.48</v>
      </c>
      <c r="K40" s="157">
        <f t="shared" si="3"/>
        <v>0</v>
      </c>
      <c r="L40" s="39"/>
      <c r="M40" s="13"/>
      <c r="N40" s="16"/>
    </row>
    <row r="41" spans="1:14" ht="39" x14ac:dyDescent="0.25">
      <c r="A41" s="227"/>
      <c r="B41" s="125" t="s">
        <v>77</v>
      </c>
      <c r="C41" s="126" t="s">
        <v>55</v>
      </c>
      <c r="D41" s="72" t="s">
        <v>21</v>
      </c>
      <c r="E41" s="155">
        <v>6</v>
      </c>
      <c r="F41" s="158">
        <v>5449907.2000000002</v>
      </c>
      <c r="G41" s="155">
        <v>5</v>
      </c>
      <c r="H41" s="156">
        <v>4643811.43</v>
      </c>
      <c r="I41" s="155">
        <v>5</v>
      </c>
      <c r="J41" s="156">
        <v>4634777.5999999996</v>
      </c>
      <c r="K41" s="157">
        <f t="shared" si="3"/>
        <v>0</v>
      </c>
      <c r="L41" s="39"/>
      <c r="M41" s="13"/>
      <c r="N41" s="16"/>
    </row>
    <row r="42" spans="1:14" ht="28.5" customHeight="1" x14ac:dyDescent="0.25">
      <c r="A42" s="227"/>
      <c r="B42" s="125" t="s">
        <v>78</v>
      </c>
      <c r="C42" s="126" t="s">
        <v>56</v>
      </c>
      <c r="D42" s="72" t="s">
        <v>21</v>
      </c>
      <c r="E42" s="155">
        <v>1679</v>
      </c>
      <c r="F42" s="158">
        <v>318984885.36000001</v>
      </c>
      <c r="G42" s="155">
        <v>1676</v>
      </c>
      <c r="H42" s="156">
        <v>325581813.48000002</v>
      </c>
      <c r="I42" s="155">
        <v>1676</v>
      </c>
      <c r="J42" s="156">
        <v>323906855.29000002</v>
      </c>
      <c r="K42" s="157">
        <f t="shared" si="3"/>
        <v>0</v>
      </c>
      <c r="L42" s="39"/>
      <c r="M42" s="13"/>
      <c r="N42" s="16"/>
    </row>
    <row r="43" spans="1:14" ht="39" x14ac:dyDescent="0.25">
      <c r="A43" s="227"/>
      <c r="B43" s="125" t="s">
        <v>79</v>
      </c>
      <c r="C43" s="126" t="s">
        <v>57</v>
      </c>
      <c r="D43" s="72" t="s">
        <v>21</v>
      </c>
      <c r="E43" s="155">
        <v>322</v>
      </c>
      <c r="F43" s="158">
        <v>67060407.740000002</v>
      </c>
      <c r="G43" s="155">
        <v>321</v>
      </c>
      <c r="H43" s="156">
        <v>68356853.700000003</v>
      </c>
      <c r="I43" s="155">
        <v>321</v>
      </c>
      <c r="J43" s="156">
        <v>67360061.519999996</v>
      </c>
      <c r="K43" s="157">
        <f t="shared" si="3"/>
        <v>0</v>
      </c>
      <c r="L43" s="39"/>
      <c r="M43" s="13"/>
      <c r="N43" s="16"/>
    </row>
    <row r="44" spans="1:14" ht="29.25" customHeight="1" x14ac:dyDescent="0.25">
      <c r="A44" s="227"/>
      <c r="B44" s="125" t="s">
        <v>80</v>
      </c>
      <c r="C44" s="126" t="s">
        <v>58</v>
      </c>
      <c r="D44" s="72" t="s">
        <v>21</v>
      </c>
      <c r="E44" s="155">
        <v>35</v>
      </c>
      <c r="F44" s="158">
        <v>24387113.050000001</v>
      </c>
      <c r="G44" s="155">
        <v>35</v>
      </c>
      <c r="H44" s="156">
        <v>24936018.190000001</v>
      </c>
      <c r="I44" s="155">
        <v>35</v>
      </c>
      <c r="J44" s="156">
        <v>24902468.91</v>
      </c>
      <c r="K44" s="157">
        <f t="shared" si="3"/>
        <v>0</v>
      </c>
      <c r="L44" s="39"/>
      <c r="M44" s="13"/>
      <c r="N44" s="16"/>
    </row>
    <row r="45" spans="1:14" ht="80.25" customHeight="1" x14ac:dyDescent="0.25">
      <c r="A45" s="227"/>
      <c r="B45" s="125" t="s">
        <v>81</v>
      </c>
      <c r="C45" s="126" t="s">
        <v>59</v>
      </c>
      <c r="D45" s="72" t="s">
        <v>21</v>
      </c>
      <c r="E45" s="155">
        <v>374</v>
      </c>
      <c r="F45" s="158">
        <v>87196654.599999994</v>
      </c>
      <c r="G45" s="155">
        <v>371</v>
      </c>
      <c r="H45" s="156">
        <v>88444095.540000007</v>
      </c>
      <c r="I45" s="155">
        <v>371</v>
      </c>
      <c r="J45" s="156">
        <v>87920566.480000004</v>
      </c>
      <c r="K45" s="157">
        <f>I45-G45</f>
        <v>0</v>
      </c>
      <c r="L45" s="39"/>
      <c r="M45" s="13"/>
      <c r="N45" s="16"/>
    </row>
    <row r="46" spans="1:14" ht="54.75" customHeight="1" x14ac:dyDescent="0.25">
      <c r="A46" s="227"/>
      <c r="B46" s="125" t="s">
        <v>109</v>
      </c>
      <c r="C46" s="126" t="s">
        <v>110</v>
      </c>
      <c r="D46" s="72" t="s">
        <v>21</v>
      </c>
      <c r="E46" s="155">
        <v>3</v>
      </c>
      <c r="F46" s="158">
        <v>694734.93</v>
      </c>
      <c r="G46" s="155">
        <v>3</v>
      </c>
      <c r="H46" s="156">
        <v>710372.02</v>
      </c>
      <c r="I46" s="155">
        <v>3</v>
      </c>
      <c r="J46" s="156">
        <v>705080.37</v>
      </c>
      <c r="K46" s="157">
        <f t="shared" si="3"/>
        <v>0</v>
      </c>
      <c r="L46" s="39"/>
      <c r="M46" s="13"/>
      <c r="N46" s="16"/>
    </row>
    <row r="47" spans="1:14" ht="59.25" customHeight="1" x14ac:dyDescent="0.25">
      <c r="A47" s="227"/>
      <c r="B47" s="125" t="s">
        <v>82</v>
      </c>
      <c r="C47" s="126" t="s">
        <v>60</v>
      </c>
      <c r="D47" s="72" t="s">
        <v>21</v>
      </c>
      <c r="E47" s="155">
        <v>275</v>
      </c>
      <c r="F47" s="158">
        <v>59841839.350000001</v>
      </c>
      <c r="G47" s="155">
        <v>269</v>
      </c>
      <c r="H47" s="156">
        <v>59853731.990000002</v>
      </c>
      <c r="I47" s="155">
        <v>269</v>
      </c>
      <c r="J47" s="156">
        <v>59476909.07</v>
      </c>
      <c r="K47" s="157">
        <f t="shared" si="3"/>
        <v>0</v>
      </c>
      <c r="L47" s="39"/>
      <c r="M47" s="13"/>
      <c r="N47" s="16"/>
    </row>
    <row r="48" spans="1:14" ht="64.5" x14ac:dyDescent="0.25">
      <c r="A48" s="227"/>
      <c r="B48" s="125" t="s">
        <v>289</v>
      </c>
      <c r="C48" s="126" t="s">
        <v>290</v>
      </c>
      <c r="D48" s="72" t="s">
        <v>21</v>
      </c>
      <c r="E48" s="155">
        <v>2</v>
      </c>
      <c r="F48" s="158">
        <v>2129502.75</v>
      </c>
      <c r="G48" s="155">
        <v>1</v>
      </c>
      <c r="H48" s="156">
        <v>1088716.8</v>
      </c>
      <c r="I48" s="155">
        <v>1</v>
      </c>
      <c r="J48" s="156">
        <v>1087662.74</v>
      </c>
      <c r="K48" s="157">
        <f t="shared" si="3"/>
        <v>0</v>
      </c>
      <c r="L48" s="39"/>
      <c r="M48" s="13"/>
      <c r="N48" s="16"/>
    </row>
    <row r="49" spans="1:14" ht="64.5" x14ac:dyDescent="0.25">
      <c r="A49" s="227"/>
      <c r="B49" s="125" t="s">
        <v>209</v>
      </c>
      <c r="C49" s="126" t="s">
        <v>210</v>
      </c>
      <c r="D49" s="72" t="s">
        <v>21</v>
      </c>
      <c r="E49" s="155">
        <v>4</v>
      </c>
      <c r="F49" s="158">
        <v>249694.32</v>
      </c>
      <c r="G49" s="155">
        <v>2</v>
      </c>
      <c r="H49" s="156">
        <v>127657.22</v>
      </c>
      <c r="I49" s="155">
        <v>2</v>
      </c>
      <c r="J49" s="156">
        <v>125064.94</v>
      </c>
      <c r="K49" s="157">
        <f t="shared" si="3"/>
        <v>0</v>
      </c>
      <c r="L49" s="39"/>
      <c r="M49" s="13"/>
      <c r="N49" s="16"/>
    </row>
    <row r="50" spans="1:14" ht="26.25" x14ac:dyDescent="0.25">
      <c r="A50" s="227"/>
      <c r="B50" s="125" t="s">
        <v>83</v>
      </c>
      <c r="C50" s="126" t="s">
        <v>61</v>
      </c>
      <c r="D50" s="72" t="s">
        <v>21</v>
      </c>
      <c r="E50" s="155">
        <v>15</v>
      </c>
      <c r="F50" s="158">
        <v>3093655.28</v>
      </c>
      <c r="G50" s="155">
        <v>11</v>
      </c>
      <c r="H50" s="156">
        <v>2319744</v>
      </c>
      <c r="I50" s="155">
        <v>11</v>
      </c>
      <c r="J50" s="156">
        <v>2318500.0699999998</v>
      </c>
      <c r="K50" s="157">
        <f t="shared" si="3"/>
        <v>0</v>
      </c>
      <c r="L50" s="39"/>
      <c r="M50" s="13"/>
      <c r="N50" s="16"/>
    </row>
    <row r="51" spans="1:14" ht="26.25" x14ac:dyDescent="0.25">
      <c r="A51" s="227"/>
      <c r="B51" s="125" t="s">
        <v>291</v>
      </c>
      <c r="C51" s="126" t="s">
        <v>292</v>
      </c>
      <c r="D51" s="72" t="s">
        <v>21</v>
      </c>
      <c r="E51" s="155">
        <v>1</v>
      </c>
      <c r="F51" s="158">
        <v>206535.53</v>
      </c>
      <c r="G51" s="155">
        <v>1</v>
      </c>
      <c r="H51" s="156">
        <v>210885.82</v>
      </c>
      <c r="I51" s="155">
        <v>1</v>
      </c>
      <c r="J51" s="156">
        <v>210772.74</v>
      </c>
      <c r="K51" s="157">
        <f t="shared" si="3"/>
        <v>0</v>
      </c>
      <c r="L51" s="39"/>
      <c r="M51" s="13"/>
      <c r="N51" s="16"/>
    </row>
    <row r="52" spans="1:14" ht="37.5" customHeight="1" x14ac:dyDescent="0.25">
      <c r="A52" s="227"/>
      <c r="B52" s="125" t="s">
        <v>111</v>
      </c>
      <c r="C52" s="126" t="s">
        <v>98</v>
      </c>
      <c r="D52" s="68" t="s">
        <v>302</v>
      </c>
      <c r="E52" s="155">
        <v>14211</v>
      </c>
      <c r="F52" s="156">
        <v>3000000</v>
      </c>
      <c r="G52" s="155">
        <v>11210</v>
      </c>
      <c r="H52" s="156">
        <v>3302096.39</v>
      </c>
      <c r="I52" s="155">
        <v>11210</v>
      </c>
      <c r="J52" s="156">
        <v>3302096.39</v>
      </c>
      <c r="K52" s="157">
        <f t="shared" si="3"/>
        <v>0</v>
      </c>
      <c r="L52" s="39"/>
      <c r="M52" s="13"/>
      <c r="N52" s="16"/>
    </row>
    <row r="53" spans="1:14" ht="26.25" x14ac:dyDescent="0.25">
      <c r="A53" s="227"/>
      <c r="B53" s="125" t="s">
        <v>293</v>
      </c>
      <c r="C53" s="126" t="s">
        <v>294</v>
      </c>
      <c r="D53" s="68" t="s">
        <v>302</v>
      </c>
      <c r="E53" s="155">
        <v>36000</v>
      </c>
      <c r="F53" s="156">
        <v>8579918.0999999996</v>
      </c>
      <c r="G53" s="155">
        <v>36000</v>
      </c>
      <c r="H53" s="156">
        <v>8579918.0999999996</v>
      </c>
      <c r="I53" s="155">
        <v>36000</v>
      </c>
      <c r="J53" s="156">
        <v>8579918.0999999996</v>
      </c>
      <c r="K53" s="157">
        <f t="shared" si="3"/>
        <v>0</v>
      </c>
      <c r="L53" s="39"/>
      <c r="M53" s="13"/>
      <c r="N53" s="16"/>
    </row>
    <row r="54" spans="1:14" ht="27.75" customHeight="1" x14ac:dyDescent="0.25">
      <c r="A54" s="227"/>
      <c r="B54" s="125" t="s">
        <v>295</v>
      </c>
      <c r="C54" s="126" t="s">
        <v>296</v>
      </c>
      <c r="D54" s="68" t="s">
        <v>302</v>
      </c>
      <c r="E54" s="155">
        <v>36000</v>
      </c>
      <c r="F54" s="156">
        <v>10968081.9</v>
      </c>
      <c r="G54" s="155">
        <v>36000</v>
      </c>
      <c r="H54" s="156">
        <v>10968081.9</v>
      </c>
      <c r="I54" s="155">
        <v>36000</v>
      </c>
      <c r="J54" s="156">
        <v>10968081.9</v>
      </c>
      <c r="K54" s="157">
        <f t="shared" si="3"/>
        <v>0</v>
      </c>
      <c r="L54" s="39"/>
      <c r="M54" s="13"/>
      <c r="N54" s="16"/>
    </row>
    <row r="55" spans="1:14" x14ac:dyDescent="0.25">
      <c r="A55" s="227"/>
      <c r="B55" s="125" t="s">
        <v>84</v>
      </c>
      <c r="C55" s="126" t="s">
        <v>62</v>
      </c>
      <c r="D55" s="68" t="s">
        <v>302</v>
      </c>
      <c r="E55" s="155">
        <v>27647</v>
      </c>
      <c r="F55" s="156">
        <v>7046300</v>
      </c>
      <c r="G55" s="155">
        <v>24999</v>
      </c>
      <c r="H55" s="156">
        <v>7363881.1399999997</v>
      </c>
      <c r="I55" s="155">
        <v>24999</v>
      </c>
      <c r="J55" s="156">
        <v>7363881.1399999997</v>
      </c>
      <c r="K55" s="157">
        <f t="shared" si="3"/>
        <v>0</v>
      </c>
      <c r="L55" s="39"/>
      <c r="M55" s="13"/>
      <c r="N55" s="16"/>
    </row>
    <row r="56" spans="1:14" ht="26.25" x14ac:dyDescent="0.25">
      <c r="A56" s="227"/>
      <c r="B56" s="125" t="s">
        <v>136</v>
      </c>
      <c r="C56" s="126" t="s">
        <v>211</v>
      </c>
      <c r="D56" s="72" t="s">
        <v>21</v>
      </c>
      <c r="E56" s="155">
        <v>2885</v>
      </c>
      <c r="F56" s="156">
        <v>22970200</v>
      </c>
      <c r="G56" s="155">
        <v>3765</v>
      </c>
      <c r="H56" s="156">
        <v>25861379.460000001</v>
      </c>
      <c r="I56" s="155">
        <v>3765</v>
      </c>
      <c r="J56" s="156">
        <v>25861379.460000001</v>
      </c>
      <c r="K56" s="157">
        <f t="shared" si="3"/>
        <v>0</v>
      </c>
      <c r="L56" s="39"/>
      <c r="M56" s="13"/>
      <c r="N56" s="16"/>
    </row>
    <row r="57" spans="1:14" ht="25.5" x14ac:dyDescent="0.25">
      <c r="A57" s="228"/>
      <c r="B57" s="59" t="s">
        <v>299</v>
      </c>
      <c r="C57" s="60" t="s">
        <v>300</v>
      </c>
      <c r="D57" s="61" t="s">
        <v>21</v>
      </c>
      <c r="E57" s="61">
        <f>75+165</f>
        <v>240</v>
      </c>
      <c r="F57" s="62">
        <f>333200+1000000</f>
        <v>1333200</v>
      </c>
      <c r="G57" s="61">
        <f>75+165</f>
        <v>240</v>
      </c>
      <c r="H57" s="62">
        <f>151813.25+1156310.45+428971.29</f>
        <v>1737094.99</v>
      </c>
      <c r="I57" s="63">
        <f>75+165</f>
        <v>240</v>
      </c>
      <c r="J57" s="64">
        <f>151813.25+428971.29+1156310.45</f>
        <v>1737094.99</v>
      </c>
      <c r="K57" s="65">
        <f>G57-I57</f>
        <v>0</v>
      </c>
      <c r="L57" s="66"/>
      <c r="M57" s="13"/>
      <c r="N57" s="16"/>
    </row>
    <row r="58" spans="1:14" ht="17.25" customHeight="1" x14ac:dyDescent="0.25">
      <c r="A58" s="228"/>
      <c r="B58" s="67" t="s">
        <v>301</v>
      </c>
      <c r="C58" s="230" t="s">
        <v>62</v>
      </c>
      <c r="D58" s="68" t="s">
        <v>302</v>
      </c>
      <c r="E58" s="69">
        <f>34900</f>
        <v>34900</v>
      </c>
      <c r="F58" s="62">
        <v>10944989</v>
      </c>
      <c r="G58" s="69">
        <v>52340</v>
      </c>
      <c r="H58" s="70">
        <v>10717138.4</v>
      </c>
      <c r="I58" s="69">
        <v>52340</v>
      </c>
      <c r="J58" s="70">
        <v>10659341.699999999</v>
      </c>
      <c r="K58" s="65">
        <f>I58-G58</f>
        <v>0</v>
      </c>
      <c r="L58" s="40"/>
      <c r="M58" s="13"/>
      <c r="N58" s="16"/>
    </row>
    <row r="59" spans="1:14" ht="18.75" customHeight="1" x14ac:dyDescent="0.25">
      <c r="A59" s="228"/>
      <c r="B59" s="67" t="s">
        <v>303</v>
      </c>
      <c r="C59" s="231"/>
      <c r="D59" s="68" t="s">
        <v>302</v>
      </c>
      <c r="E59" s="69">
        <f>47200+5620</f>
        <v>52820</v>
      </c>
      <c r="F59" s="62">
        <f>2841600+1762611</f>
        <v>4604211</v>
      </c>
      <c r="G59" s="69">
        <f>62400+12340</f>
        <v>74740</v>
      </c>
      <c r="H59" s="70">
        <f>2841600+2527021.02</f>
        <v>5368621.0199999996</v>
      </c>
      <c r="I59" s="69">
        <f>62400+12340</f>
        <v>74740</v>
      </c>
      <c r="J59" s="69">
        <f>2841600+2513111.9</f>
        <v>5354711.9000000004</v>
      </c>
      <c r="K59" s="69"/>
      <c r="L59" s="159"/>
      <c r="M59" s="13"/>
      <c r="N59" s="16"/>
    </row>
    <row r="60" spans="1:14" ht="17.25" customHeight="1" x14ac:dyDescent="0.25">
      <c r="A60" s="228"/>
      <c r="B60" s="83" t="s">
        <v>324</v>
      </c>
      <c r="C60" s="100" t="s">
        <v>325</v>
      </c>
      <c r="D60" s="104" t="s">
        <v>335</v>
      </c>
      <c r="E60" s="104">
        <v>310</v>
      </c>
      <c r="F60" s="103">
        <v>7258886.9199999999</v>
      </c>
      <c r="G60" s="127">
        <v>310</v>
      </c>
      <c r="H60" s="103">
        <v>8567879.7699999996</v>
      </c>
      <c r="I60" s="127">
        <v>310</v>
      </c>
      <c r="J60" s="103">
        <v>8230793.7199999997</v>
      </c>
      <c r="K60" s="95">
        <v>0</v>
      </c>
      <c r="L60" s="128"/>
      <c r="M60" s="13"/>
      <c r="N60" s="16"/>
    </row>
    <row r="61" spans="1:14" ht="36" customHeight="1" x14ac:dyDescent="0.25">
      <c r="A61" s="228"/>
      <c r="B61" s="236" t="s">
        <v>326</v>
      </c>
      <c r="C61" s="238" t="s">
        <v>327</v>
      </c>
      <c r="D61" s="104" t="s">
        <v>335</v>
      </c>
      <c r="E61" s="130">
        <v>24</v>
      </c>
      <c r="F61" s="115">
        <v>8263711.4800000004</v>
      </c>
      <c r="G61" s="131">
        <v>28</v>
      </c>
      <c r="H61" s="132">
        <v>9824443.9100000001</v>
      </c>
      <c r="I61" s="131">
        <v>28</v>
      </c>
      <c r="J61" s="132">
        <v>9411513.5</v>
      </c>
      <c r="K61" s="95">
        <v>0</v>
      </c>
      <c r="L61" s="128"/>
      <c r="M61" s="13"/>
      <c r="N61" s="16"/>
    </row>
    <row r="62" spans="1:14" ht="36.75" customHeight="1" x14ac:dyDescent="0.25">
      <c r="A62" s="228"/>
      <c r="B62" s="237"/>
      <c r="C62" s="239"/>
      <c r="D62" s="72" t="s">
        <v>21</v>
      </c>
      <c r="E62" s="130">
        <v>1205</v>
      </c>
      <c r="F62" s="115">
        <v>12704090.630000001</v>
      </c>
      <c r="G62" s="131">
        <v>1500</v>
      </c>
      <c r="H62" s="132">
        <v>15768075.960000001</v>
      </c>
      <c r="I62" s="131">
        <v>1617</v>
      </c>
      <c r="J62" s="132">
        <v>15557324.33</v>
      </c>
      <c r="K62" s="95">
        <v>0</v>
      </c>
      <c r="L62" s="128"/>
      <c r="M62" s="13"/>
      <c r="N62" s="16"/>
    </row>
    <row r="63" spans="1:14" ht="51" x14ac:dyDescent="0.25">
      <c r="A63" s="228"/>
      <c r="B63" s="134" t="s">
        <v>328</v>
      </c>
      <c r="C63" s="135" t="s">
        <v>329</v>
      </c>
      <c r="D63" s="133" t="s">
        <v>335</v>
      </c>
      <c r="E63" s="130">
        <v>83</v>
      </c>
      <c r="F63" s="115">
        <v>7308044.1600000001</v>
      </c>
      <c r="G63" s="131">
        <v>83</v>
      </c>
      <c r="H63" s="132">
        <v>8688283.7300000004</v>
      </c>
      <c r="I63" s="131">
        <v>83</v>
      </c>
      <c r="J63" s="132">
        <v>8323107.1799999997</v>
      </c>
      <c r="K63" s="95">
        <v>0</v>
      </c>
      <c r="L63" s="128"/>
      <c r="M63" s="13"/>
      <c r="N63" s="16"/>
    </row>
    <row r="64" spans="1:14" ht="63.75" x14ac:dyDescent="0.25">
      <c r="A64" s="228"/>
      <c r="B64" s="134" t="s">
        <v>330</v>
      </c>
      <c r="C64" s="135" t="s">
        <v>331</v>
      </c>
      <c r="D64" s="133" t="s">
        <v>335</v>
      </c>
      <c r="E64" s="130">
        <v>40</v>
      </c>
      <c r="F64" s="115">
        <v>6745886.9199999999</v>
      </c>
      <c r="G64" s="131">
        <v>40</v>
      </c>
      <c r="H64" s="132">
        <v>8019954.2199999997</v>
      </c>
      <c r="I64" s="131">
        <v>40</v>
      </c>
      <c r="J64" s="132">
        <v>7682868.1600000001</v>
      </c>
      <c r="K64" s="95">
        <v>0</v>
      </c>
      <c r="L64" s="128"/>
      <c r="M64" s="13"/>
      <c r="N64" s="16"/>
    </row>
    <row r="65" spans="1:21" x14ac:dyDescent="0.25">
      <c r="A65" s="228"/>
      <c r="B65" s="91" t="s">
        <v>332</v>
      </c>
      <c r="C65" s="135" t="s">
        <v>333</v>
      </c>
      <c r="D65" s="133" t="s">
        <v>335</v>
      </c>
      <c r="E65" s="130">
        <v>237</v>
      </c>
      <c r="F65" s="115">
        <v>10118530.380000001</v>
      </c>
      <c r="G65" s="131">
        <v>237</v>
      </c>
      <c r="H65" s="136">
        <v>12029631.32</v>
      </c>
      <c r="I65" s="137">
        <v>237</v>
      </c>
      <c r="J65" s="138">
        <v>11524002.25</v>
      </c>
      <c r="K65" s="95">
        <v>0</v>
      </c>
      <c r="L65" s="128"/>
      <c r="M65" s="13"/>
      <c r="N65" s="16"/>
    </row>
    <row r="66" spans="1:21" x14ac:dyDescent="0.25">
      <c r="A66" s="228"/>
      <c r="B66" s="91" t="s">
        <v>334</v>
      </c>
      <c r="C66" s="135" t="s">
        <v>333</v>
      </c>
      <c r="D66" s="133" t="s">
        <v>335</v>
      </c>
      <c r="E66" s="130">
        <v>14</v>
      </c>
      <c r="F66" s="115">
        <v>13492073.84</v>
      </c>
      <c r="G66" s="131">
        <v>14</v>
      </c>
      <c r="H66" s="136">
        <v>16040208.43</v>
      </c>
      <c r="I66" s="137">
        <v>14</v>
      </c>
      <c r="J66" s="138">
        <v>15366036.33</v>
      </c>
      <c r="K66" s="95">
        <v>0</v>
      </c>
      <c r="L66" s="128"/>
      <c r="M66" s="13"/>
      <c r="N66" s="16"/>
    </row>
    <row r="67" spans="1:21" ht="25.5" x14ac:dyDescent="0.25">
      <c r="A67" s="228"/>
      <c r="B67" s="163" t="s">
        <v>337</v>
      </c>
      <c r="C67" s="129" t="s">
        <v>347</v>
      </c>
      <c r="D67" s="164" t="s">
        <v>355</v>
      </c>
      <c r="E67" s="165">
        <v>128105.33</v>
      </c>
      <c r="F67" s="166">
        <v>22919324.59</v>
      </c>
      <c r="G67" s="167">
        <v>123139.11</v>
      </c>
      <c r="H67" s="168">
        <v>26590659.41</v>
      </c>
      <c r="I67" s="169">
        <v>120151.06</v>
      </c>
      <c r="J67" s="170">
        <v>26509477.059999999</v>
      </c>
      <c r="K67" s="157">
        <f>I67-G67</f>
        <v>-2988.0500000000029</v>
      </c>
      <c r="L67" s="171"/>
      <c r="M67" s="13"/>
      <c r="N67" s="16"/>
    </row>
    <row r="68" spans="1:21" ht="25.5" x14ac:dyDescent="0.25">
      <c r="A68" s="228"/>
      <c r="B68" s="163" t="s">
        <v>338</v>
      </c>
      <c r="C68" s="129" t="s">
        <v>348</v>
      </c>
      <c r="D68" s="164" t="s">
        <v>355</v>
      </c>
      <c r="E68" s="165">
        <v>72799.960000000006</v>
      </c>
      <c r="F68" s="166">
        <v>22511931.629999999</v>
      </c>
      <c r="G68" s="167">
        <v>85514</v>
      </c>
      <c r="H68" s="168">
        <v>25842322.73</v>
      </c>
      <c r="I68" s="169">
        <v>84978.71</v>
      </c>
      <c r="J68" s="170">
        <v>25760584.449999999</v>
      </c>
      <c r="K68" s="157">
        <f t="shared" ref="K68:K76" si="4">I68-G68</f>
        <v>-535.2899999999936</v>
      </c>
      <c r="L68" s="171"/>
      <c r="M68" s="13"/>
      <c r="N68" s="16"/>
    </row>
    <row r="69" spans="1:21" ht="38.25" x14ac:dyDescent="0.25">
      <c r="A69" s="228"/>
      <c r="B69" s="163" t="s">
        <v>339</v>
      </c>
      <c r="C69" s="129" t="s">
        <v>349</v>
      </c>
      <c r="D69" s="164" t="s">
        <v>356</v>
      </c>
      <c r="E69" s="165">
        <v>26431.1</v>
      </c>
      <c r="F69" s="166">
        <v>13887164.25</v>
      </c>
      <c r="G69" s="167">
        <v>25828.44</v>
      </c>
      <c r="H69" s="168">
        <v>15809846.41</v>
      </c>
      <c r="I69" s="169">
        <v>25073.279999999999</v>
      </c>
      <c r="J69" s="170">
        <v>15347605.422353221</v>
      </c>
      <c r="K69" s="157">
        <f t="shared" si="4"/>
        <v>-755.15999999999985</v>
      </c>
      <c r="L69" s="171"/>
      <c r="M69" s="13"/>
      <c r="N69" s="16"/>
    </row>
    <row r="70" spans="1:21" ht="38.25" x14ac:dyDescent="0.25">
      <c r="A70" s="228"/>
      <c r="B70" s="163" t="s">
        <v>340</v>
      </c>
      <c r="C70" s="129" t="s">
        <v>350</v>
      </c>
      <c r="D70" s="164" t="s">
        <v>356</v>
      </c>
      <c r="E70" s="165">
        <v>72452.66</v>
      </c>
      <c r="F70" s="166">
        <f>29035403.5</f>
        <v>29035403.5</v>
      </c>
      <c r="G70" s="167">
        <v>70233.55</v>
      </c>
      <c r="H70" s="168">
        <v>33240134.539999999</v>
      </c>
      <c r="I70" s="169">
        <v>68586.880000000005</v>
      </c>
      <c r="J70" s="170">
        <v>33030113.349999998</v>
      </c>
      <c r="K70" s="157">
        <f t="shared" si="4"/>
        <v>-1646.6699999999983</v>
      </c>
      <c r="L70" s="171"/>
      <c r="M70" s="13"/>
      <c r="N70" s="16"/>
    </row>
    <row r="71" spans="1:21" ht="38.25" x14ac:dyDescent="0.25">
      <c r="A71" s="228"/>
      <c r="B71" s="163" t="s">
        <v>341</v>
      </c>
      <c r="C71" s="129" t="s">
        <v>351</v>
      </c>
      <c r="D71" s="164" t="s">
        <v>356</v>
      </c>
      <c r="E71" s="165">
        <v>40983.089999999997</v>
      </c>
      <c r="F71" s="166">
        <v>17647318.550000001</v>
      </c>
      <c r="G71" s="167">
        <v>41095.11</v>
      </c>
      <c r="H71" s="168">
        <v>20137014.850000001</v>
      </c>
      <c r="I71" s="169">
        <v>40651.78</v>
      </c>
      <c r="J71" s="170">
        <v>19882918.620000001</v>
      </c>
      <c r="K71" s="157">
        <f t="shared" si="4"/>
        <v>-443.33000000000175</v>
      </c>
      <c r="L71" s="171"/>
      <c r="M71" s="13"/>
      <c r="N71" s="16"/>
    </row>
    <row r="72" spans="1:21" ht="38.25" x14ac:dyDescent="0.25">
      <c r="A72" s="228"/>
      <c r="B72" s="163" t="s">
        <v>342</v>
      </c>
      <c r="C72" s="129" t="s">
        <v>352</v>
      </c>
      <c r="D72" s="164" t="s">
        <v>356</v>
      </c>
      <c r="E72" s="165">
        <v>191379.55</v>
      </c>
      <c r="F72" s="166">
        <v>40210757.850000001</v>
      </c>
      <c r="G72" s="167">
        <v>180333.33</v>
      </c>
      <c r="H72" s="168">
        <v>47279792.460000001</v>
      </c>
      <c r="I72" s="169">
        <v>175373.8</v>
      </c>
      <c r="J72" s="170">
        <v>47178454.600000001</v>
      </c>
      <c r="K72" s="157">
        <f t="shared" si="4"/>
        <v>-4959.5299999999988</v>
      </c>
      <c r="L72" s="171"/>
      <c r="M72" s="13"/>
      <c r="N72" s="16"/>
    </row>
    <row r="73" spans="1:21" ht="25.5" x14ac:dyDescent="0.25">
      <c r="A73" s="228"/>
      <c r="B73" s="163" t="s">
        <v>343</v>
      </c>
      <c r="C73" s="129" t="s">
        <v>353</v>
      </c>
      <c r="D73" s="164" t="s">
        <v>356</v>
      </c>
      <c r="E73" s="165">
        <v>46207.54</v>
      </c>
      <c r="F73" s="166">
        <v>25853199.629999999</v>
      </c>
      <c r="G73" s="167">
        <v>46197.78</v>
      </c>
      <c r="H73" s="168">
        <v>29799844.739999998</v>
      </c>
      <c r="I73" s="169">
        <v>45898.98</v>
      </c>
      <c r="J73" s="170">
        <v>29587597.120000001</v>
      </c>
      <c r="K73" s="157">
        <f t="shared" si="4"/>
        <v>-298.79999999999563</v>
      </c>
      <c r="L73" s="171"/>
      <c r="M73" s="13"/>
      <c r="N73" s="16"/>
    </row>
    <row r="74" spans="1:21" ht="25.5" x14ac:dyDescent="0.25">
      <c r="A74" s="228"/>
      <c r="B74" s="163" t="s">
        <v>344</v>
      </c>
      <c r="C74" s="129" t="s">
        <v>347</v>
      </c>
      <c r="D74" s="164" t="s">
        <v>355</v>
      </c>
      <c r="E74" s="165">
        <v>150918.39999999999</v>
      </c>
      <c r="F74" s="166">
        <v>34035102</v>
      </c>
      <c r="G74" s="167">
        <v>150918.39999999999</v>
      </c>
      <c r="H74" s="168">
        <v>45996762</v>
      </c>
      <c r="I74" s="169">
        <v>150918.39999999999</v>
      </c>
      <c r="J74" s="170">
        <v>45660182.020000003</v>
      </c>
      <c r="K74" s="157">
        <f t="shared" si="4"/>
        <v>0</v>
      </c>
      <c r="L74" s="171"/>
      <c r="M74" s="13"/>
      <c r="N74" s="16"/>
    </row>
    <row r="75" spans="1:21" ht="25.5" x14ac:dyDescent="0.25">
      <c r="A75" s="228"/>
      <c r="B75" s="163" t="s">
        <v>345</v>
      </c>
      <c r="C75" s="129" t="s">
        <v>348</v>
      </c>
      <c r="D75" s="164" t="s">
        <v>355</v>
      </c>
      <c r="E75" s="165">
        <v>36122.67</v>
      </c>
      <c r="F75" s="166">
        <v>8611160</v>
      </c>
      <c r="G75" s="167">
        <v>36122.67</v>
      </c>
      <c r="H75" s="168">
        <v>10643650.439999999</v>
      </c>
      <c r="I75" s="169">
        <v>36122.67</v>
      </c>
      <c r="J75" s="170">
        <v>10506015.4</v>
      </c>
      <c r="K75" s="157">
        <f t="shared" si="4"/>
        <v>0</v>
      </c>
      <c r="L75" s="171"/>
      <c r="M75" s="13"/>
      <c r="N75" s="16"/>
    </row>
    <row r="76" spans="1:21" ht="25.5" x14ac:dyDescent="0.25">
      <c r="A76" s="228"/>
      <c r="B76" s="163" t="s">
        <v>346</v>
      </c>
      <c r="C76" s="129" t="s">
        <v>354</v>
      </c>
      <c r="D76" s="164" t="s">
        <v>355</v>
      </c>
      <c r="E76" s="165">
        <v>0</v>
      </c>
      <c r="F76" s="166">
        <v>0</v>
      </c>
      <c r="G76" s="167">
        <v>2544.8000000000002</v>
      </c>
      <c r="H76" s="168">
        <f>1279500</f>
        <v>1279500</v>
      </c>
      <c r="I76" s="169">
        <v>2544.8000000000002</v>
      </c>
      <c r="J76" s="170">
        <v>1216336.7</v>
      </c>
      <c r="K76" s="157">
        <f t="shared" si="4"/>
        <v>0</v>
      </c>
      <c r="L76" s="171"/>
      <c r="M76" s="13"/>
      <c r="N76" s="16"/>
    </row>
    <row r="77" spans="1:21" ht="30" customHeight="1" thickBot="1" x14ac:dyDescent="0.3">
      <c r="A77" s="229"/>
      <c r="B77" s="50"/>
      <c r="C77" s="51" t="s">
        <v>135</v>
      </c>
      <c r="D77" s="52" t="s">
        <v>37</v>
      </c>
      <c r="E77" s="53" t="s">
        <v>94</v>
      </c>
      <c r="F77" s="160">
        <f>33112595.03+64075.67+603738</f>
        <v>33780408.700000003</v>
      </c>
      <c r="G77" s="123" t="s">
        <v>297</v>
      </c>
      <c r="H77" s="160">
        <f>43038377.09+52701+495163</f>
        <v>43586241.090000004</v>
      </c>
      <c r="I77" s="123" t="s">
        <v>297</v>
      </c>
      <c r="J77" s="160">
        <f>42122507.02+52701+495162.5</f>
        <v>42670370.520000003</v>
      </c>
      <c r="K77" s="161">
        <v>0</v>
      </c>
      <c r="L77" s="54"/>
      <c r="M77" s="13">
        <v>41593910.700000003</v>
      </c>
      <c r="N77" s="16">
        <v>49088464.689999998</v>
      </c>
      <c r="O77" s="10">
        <v>48997312.770000003</v>
      </c>
      <c r="P77" s="9"/>
      <c r="Q77" s="9"/>
      <c r="R77" s="9"/>
      <c r="S77" s="9"/>
      <c r="T77" s="9"/>
      <c r="U77" s="9"/>
    </row>
    <row r="78" spans="1:21" ht="33" customHeight="1" thickBot="1" x14ac:dyDescent="0.3">
      <c r="A78" s="245" t="s">
        <v>16</v>
      </c>
      <c r="B78" s="172" t="s">
        <v>14</v>
      </c>
      <c r="C78" s="173" t="s">
        <v>19</v>
      </c>
      <c r="D78" s="174" t="s">
        <v>14</v>
      </c>
      <c r="E78" s="174" t="s">
        <v>14</v>
      </c>
      <c r="F78" s="175">
        <f>SUM(F79:F99)</f>
        <v>346021000</v>
      </c>
      <c r="G78" s="174" t="s">
        <v>14</v>
      </c>
      <c r="H78" s="175">
        <f>SUM(H79:H99)</f>
        <v>396259738.93272245</v>
      </c>
      <c r="I78" s="174" t="s">
        <v>14</v>
      </c>
      <c r="J78" s="176">
        <f>SUM(J79:J99)</f>
        <v>392415523.54026717</v>
      </c>
      <c r="K78" s="174" t="s">
        <v>14</v>
      </c>
      <c r="L78" s="177" t="s">
        <v>14</v>
      </c>
      <c r="M78" s="13">
        <v>293902209</v>
      </c>
      <c r="N78" s="16">
        <v>338483717.00999999</v>
      </c>
      <c r="O78" s="10">
        <v>336785535.38999999</v>
      </c>
      <c r="P78" s="9"/>
      <c r="Q78" s="9"/>
      <c r="R78" s="9"/>
      <c r="S78" s="9"/>
      <c r="T78" s="9"/>
      <c r="U78" s="9"/>
    </row>
    <row r="79" spans="1:21" ht="28.5" customHeight="1" x14ac:dyDescent="0.25">
      <c r="A79" s="246"/>
      <c r="B79" s="178" t="s">
        <v>33</v>
      </c>
      <c r="C79" s="88" t="s">
        <v>34</v>
      </c>
      <c r="D79" s="162" t="s">
        <v>112</v>
      </c>
      <c r="E79" s="179">
        <v>4500</v>
      </c>
      <c r="F79" s="180">
        <v>5807745</v>
      </c>
      <c r="G79" s="69">
        <v>5600</v>
      </c>
      <c r="H79" s="181">
        <v>8356096</v>
      </c>
      <c r="I79" s="69">
        <v>5603</v>
      </c>
      <c r="J79" s="181">
        <v>8284696</v>
      </c>
      <c r="K79" s="74">
        <f>I79-G79</f>
        <v>3</v>
      </c>
      <c r="L79" s="240"/>
      <c r="M79" s="13">
        <f>M78-F78</f>
        <v>-52118791</v>
      </c>
      <c r="N79" s="16">
        <f>N78-H78</f>
        <v>-57776021.922722459</v>
      </c>
      <c r="O79" s="10">
        <f>O78-J78</f>
        <v>-55629988.150267184</v>
      </c>
      <c r="P79" s="9"/>
      <c r="Q79" s="9"/>
      <c r="R79" s="9"/>
      <c r="S79" s="9"/>
      <c r="T79" s="9"/>
      <c r="U79" s="9"/>
    </row>
    <row r="80" spans="1:21" ht="21" customHeight="1" x14ac:dyDescent="0.25">
      <c r="A80" s="246"/>
      <c r="B80" s="182" t="s">
        <v>97</v>
      </c>
      <c r="C80" s="89" t="s">
        <v>34</v>
      </c>
      <c r="D80" s="68" t="s">
        <v>112</v>
      </c>
      <c r="E80" s="81">
        <v>20000</v>
      </c>
      <c r="F80" s="143">
        <v>17702400</v>
      </c>
      <c r="G80" s="80">
        <v>22300</v>
      </c>
      <c r="H80" s="183">
        <v>25551160</v>
      </c>
      <c r="I80" s="80">
        <v>22389</v>
      </c>
      <c r="J80" s="183">
        <v>25231558</v>
      </c>
      <c r="K80" s="74">
        <f t="shared" ref="K80:K98" si="5">I80-G80</f>
        <v>89</v>
      </c>
      <c r="L80" s="241"/>
      <c r="M80" s="13"/>
      <c r="N80" s="16"/>
      <c r="P80" s="9"/>
      <c r="Q80" s="9"/>
      <c r="R80" s="9"/>
      <c r="S80" s="9"/>
      <c r="T80" s="9"/>
      <c r="U80" s="9"/>
    </row>
    <row r="81" spans="1:21" x14ac:dyDescent="0.25">
      <c r="A81" s="246"/>
      <c r="B81" s="182" t="s">
        <v>138</v>
      </c>
      <c r="C81" s="89" t="s">
        <v>139</v>
      </c>
      <c r="D81" s="68" t="s">
        <v>112</v>
      </c>
      <c r="E81" s="81">
        <v>95680</v>
      </c>
      <c r="F81" s="143">
        <v>86360778.430000007</v>
      </c>
      <c r="G81" s="184">
        <v>93000</v>
      </c>
      <c r="H81" s="183">
        <v>94064850</v>
      </c>
      <c r="I81" s="184">
        <v>93998</v>
      </c>
      <c r="J81" s="183">
        <v>92535930</v>
      </c>
      <c r="K81" s="74">
        <f t="shared" si="5"/>
        <v>998</v>
      </c>
      <c r="L81" s="241"/>
      <c r="M81" s="13"/>
      <c r="N81" s="16"/>
      <c r="P81" s="9"/>
      <c r="Q81" s="9"/>
      <c r="R81" s="9"/>
      <c r="S81" s="9"/>
      <c r="T81" s="9"/>
      <c r="U81" s="9"/>
    </row>
    <row r="82" spans="1:21" ht="25.5" x14ac:dyDescent="0.25">
      <c r="A82" s="246"/>
      <c r="B82" s="182" t="s">
        <v>140</v>
      </c>
      <c r="C82" s="89" t="s">
        <v>85</v>
      </c>
      <c r="D82" s="68" t="s">
        <v>112</v>
      </c>
      <c r="E82" s="81">
        <v>616</v>
      </c>
      <c r="F82" s="143">
        <v>29178004.239999998</v>
      </c>
      <c r="G82" s="184">
        <v>628</v>
      </c>
      <c r="H82" s="183">
        <v>37788783.649999999</v>
      </c>
      <c r="I82" s="184">
        <v>627</v>
      </c>
      <c r="J82" s="183">
        <v>37779020.07</v>
      </c>
      <c r="K82" s="74">
        <f t="shared" si="5"/>
        <v>-1</v>
      </c>
      <c r="L82" s="241"/>
      <c r="M82" s="13"/>
      <c r="N82" s="16"/>
      <c r="O82" s="9"/>
      <c r="P82" s="9"/>
      <c r="Q82" s="9"/>
      <c r="R82" s="9"/>
      <c r="S82" s="9"/>
      <c r="T82" s="9"/>
      <c r="U82" s="9"/>
    </row>
    <row r="83" spans="1:21" ht="25.5" x14ac:dyDescent="0.25">
      <c r="A83" s="246"/>
      <c r="B83" s="182" t="s">
        <v>141</v>
      </c>
      <c r="C83" s="89" t="s">
        <v>142</v>
      </c>
      <c r="D83" s="68" t="s">
        <v>112</v>
      </c>
      <c r="E83" s="81">
        <v>700</v>
      </c>
      <c r="F83" s="143">
        <v>4612123.76</v>
      </c>
      <c r="G83" s="80">
        <v>0</v>
      </c>
      <c r="H83" s="183">
        <v>0</v>
      </c>
      <c r="I83" s="80">
        <v>0</v>
      </c>
      <c r="J83" s="183">
        <v>0</v>
      </c>
      <c r="K83" s="74">
        <f t="shared" si="5"/>
        <v>0</v>
      </c>
      <c r="L83" s="241"/>
      <c r="M83" s="13"/>
      <c r="N83" s="16"/>
      <c r="O83" s="9"/>
      <c r="P83" s="9"/>
      <c r="Q83" s="9"/>
      <c r="R83" s="9"/>
      <c r="S83" s="9"/>
      <c r="T83" s="9"/>
      <c r="U83" s="9"/>
    </row>
    <row r="84" spans="1:21" x14ac:dyDescent="0.25">
      <c r="A84" s="246"/>
      <c r="B84" s="185" t="s">
        <v>29</v>
      </c>
      <c r="C84" s="89" t="s">
        <v>30</v>
      </c>
      <c r="D84" s="68" t="s">
        <v>21</v>
      </c>
      <c r="E84" s="142">
        <v>250</v>
      </c>
      <c r="F84" s="143">
        <v>4166436.29</v>
      </c>
      <c r="G84" s="80">
        <v>58</v>
      </c>
      <c r="H84" s="186">
        <v>1026969.61</v>
      </c>
      <c r="I84" s="80">
        <v>58</v>
      </c>
      <c r="J84" s="186">
        <v>1026969.46</v>
      </c>
      <c r="K84" s="74">
        <f t="shared" si="5"/>
        <v>0</v>
      </c>
      <c r="L84" s="241"/>
      <c r="M84" s="13"/>
      <c r="N84" s="16"/>
      <c r="O84" s="9"/>
      <c r="P84" s="9"/>
      <c r="Q84" s="9"/>
      <c r="R84" s="9"/>
      <c r="S84" s="9"/>
      <c r="T84" s="9"/>
      <c r="U84" s="9"/>
    </row>
    <row r="85" spans="1:21" x14ac:dyDescent="0.25">
      <c r="A85" s="246"/>
      <c r="B85" s="185" t="s">
        <v>143</v>
      </c>
      <c r="C85" s="89" t="s">
        <v>30</v>
      </c>
      <c r="D85" s="68" t="s">
        <v>21</v>
      </c>
      <c r="E85" s="142">
        <v>2200</v>
      </c>
      <c r="F85" s="143">
        <v>35424212.869999997</v>
      </c>
      <c r="G85" s="80">
        <v>2900</v>
      </c>
      <c r="H85" s="187">
        <v>47253011.950000003</v>
      </c>
      <c r="I85" s="80">
        <v>3016</v>
      </c>
      <c r="J85" s="187">
        <v>47120721.280000001</v>
      </c>
      <c r="K85" s="74">
        <f t="shared" si="5"/>
        <v>116</v>
      </c>
      <c r="L85" s="241"/>
      <c r="M85" s="13"/>
      <c r="N85" s="16"/>
      <c r="O85" s="9"/>
      <c r="P85" s="9"/>
      <c r="Q85" s="9"/>
      <c r="R85" s="9"/>
      <c r="S85" s="9"/>
      <c r="T85" s="9"/>
      <c r="U85" s="9"/>
    </row>
    <row r="86" spans="1:21" ht="29.25" customHeight="1" x14ac:dyDescent="0.25">
      <c r="A86" s="246"/>
      <c r="B86" s="185" t="s">
        <v>31</v>
      </c>
      <c r="C86" s="89" t="s">
        <v>32</v>
      </c>
      <c r="D86" s="68" t="s">
        <v>21</v>
      </c>
      <c r="E86" s="142">
        <v>200</v>
      </c>
      <c r="F86" s="143">
        <v>2976432.46</v>
      </c>
      <c r="G86" s="80">
        <v>120</v>
      </c>
      <c r="H86" s="186">
        <v>1251927.44</v>
      </c>
      <c r="I86" s="80">
        <v>120</v>
      </c>
      <c r="J86" s="186">
        <v>1251927.6000000001</v>
      </c>
      <c r="K86" s="74">
        <f t="shared" si="5"/>
        <v>0</v>
      </c>
      <c r="L86" s="241"/>
      <c r="M86" s="13"/>
      <c r="N86" s="16"/>
      <c r="O86" s="9"/>
      <c r="P86" s="9"/>
      <c r="Q86" s="9"/>
      <c r="R86" s="9"/>
      <c r="S86" s="9"/>
      <c r="T86" s="9"/>
      <c r="U86" s="9"/>
    </row>
    <row r="87" spans="1:21" x14ac:dyDescent="0.25">
      <c r="A87" s="246"/>
      <c r="B87" s="185" t="s">
        <v>248</v>
      </c>
      <c r="C87" s="89" t="s">
        <v>32</v>
      </c>
      <c r="D87" s="68" t="s">
        <v>21</v>
      </c>
      <c r="E87" s="142">
        <v>3000</v>
      </c>
      <c r="F87" s="143">
        <v>1967269.66</v>
      </c>
      <c r="G87" s="80">
        <v>4400</v>
      </c>
      <c r="H87" s="186">
        <v>2813800.96</v>
      </c>
      <c r="I87" s="80">
        <v>4679</v>
      </c>
      <c r="J87" s="186">
        <v>2813800</v>
      </c>
      <c r="K87" s="74">
        <f t="shared" si="5"/>
        <v>279</v>
      </c>
      <c r="L87" s="241"/>
      <c r="M87" s="13"/>
      <c r="N87" s="16"/>
      <c r="O87" s="9"/>
      <c r="P87" s="9"/>
      <c r="Q87" s="9"/>
      <c r="R87" s="9"/>
      <c r="S87" s="9"/>
      <c r="T87" s="9"/>
      <c r="U87" s="9"/>
    </row>
    <row r="88" spans="1:21" x14ac:dyDescent="0.25">
      <c r="A88" s="246"/>
      <c r="B88" s="185" t="s">
        <v>144</v>
      </c>
      <c r="C88" s="89" t="s">
        <v>32</v>
      </c>
      <c r="D88" s="68" t="s">
        <v>21</v>
      </c>
      <c r="E88" s="142">
        <v>240</v>
      </c>
      <c r="F88" s="143">
        <v>3773384.72</v>
      </c>
      <c r="G88" s="80">
        <v>530</v>
      </c>
      <c r="H88" s="186">
        <v>5245656.0199999996</v>
      </c>
      <c r="I88" s="80">
        <v>553</v>
      </c>
      <c r="J88" s="186">
        <v>5245653.8</v>
      </c>
      <c r="K88" s="74">
        <f t="shared" si="5"/>
        <v>23</v>
      </c>
      <c r="L88" s="241"/>
      <c r="M88" s="13"/>
      <c r="N88" s="16"/>
      <c r="O88" s="9"/>
      <c r="P88" s="9"/>
      <c r="Q88" s="9"/>
      <c r="R88" s="9"/>
      <c r="S88" s="9"/>
      <c r="T88" s="9"/>
      <c r="U88" s="9"/>
    </row>
    <row r="89" spans="1:21" ht="25.5" x14ac:dyDescent="0.25">
      <c r="A89" s="246"/>
      <c r="B89" s="185" t="s">
        <v>28</v>
      </c>
      <c r="C89" s="89" t="s">
        <v>145</v>
      </c>
      <c r="D89" s="68" t="s">
        <v>146</v>
      </c>
      <c r="E89" s="142">
        <v>110149</v>
      </c>
      <c r="F89" s="64">
        <v>43968176.329999998</v>
      </c>
      <c r="G89" s="80">
        <v>110149</v>
      </c>
      <c r="H89" s="183">
        <v>47994122.282058038</v>
      </c>
      <c r="I89" s="80">
        <v>112004</v>
      </c>
      <c r="J89" s="183">
        <v>48105717.998623297</v>
      </c>
      <c r="K89" s="74">
        <f t="shared" si="5"/>
        <v>1855</v>
      </c>
      <c r="L89" s="241"/>
      <c r="M89" s="13"/>
      <c r="N89" s="16"/>
      <c r="O89" s="9"/>
      <c r="P89" s="9"/>
      <c r="Q89" s="9"/>
      <c r="R89" s="9"/>
      <c r="S89" s="9"/>
      <c r="T89" s="9"/>
      <c r="U89" s="9"/>
    </row>
    <row r="90" spans="1:21" ht="25.5" x14ac:dyDescent="0.25">
      <c r="A90" s="246"/>
      <c r="B90" s="185" t="s">
        <v>147</v>
      </c>
      <c r="C90" s="89" t="s">
        <v>148</v>
      </c>
      <c r="D90" s="68" t="s">
        <v>146</v>
      </c>
      <c r="E90" s="142">
        <v>105040</v>
      </c>
      <c r="F90" s="64">
        <v>12483053.6</v>
      </c>
      <c r="G90" s="80">
        <v>62000</v>
      </c>
      <c r="H90" s="183">
        <v>15926587.151068799</v>
      </c>
      <c r="I90" s="80">
        <v>63042</v>
      </c>
      <c r="J90" s="183">
        <v>15980572.5800134</v>
      </c>
      <c r="K90" s="74">
        <f t="shared" si="5"/>
        <v>1042</v>
      </c>
      <c r="L90" s="241"/>
      <c r="M90" s="13"/>
      <c r="N90" s="16"/>
      <c r="O90" s="9"/>
      <c r="P90" s="9"/>
      <c r="Q90" s="9"/>
      <c r="R90" s="9"/>
      <c r="S90" s="9"/>
      <c r="T90" s="9"/>
      <c r="U90" s="9"/>
    </row>
    <row r="91" spans="1:21" ht="25.5" x14ac:dyDescent="0.25">
      <c r="A91" s="246"/>
      <c r="B91" s="185" t="s">
        <v>149</v>
      </c>
      <c r="C91" s="89" t="s">
        <v>150</v>
      </c>
      <c r="D91" s="68" t="s">
        <v>146</v>
      </c>
      <c r="E91" s="142">
        <v>11562</v>
      </c>
      <c r="F91" s="64">
        <v>2083703.64</v>
      </c>
      <c r="G91" s="80">
        <v>13529</v>
      </c>
      <c r="H91" s="183">
        <v>2638560.8688192</v>
      </c>
      <c r="I91" s="80">
        <v>13618</v>
      </c>
      <c r="J91" s="183">
        <v>2659595.7579088002</v>
      </c>
      <c r="K91" s="74">
        <f t="shared" si="5"/>
        <v>89</v>
      </c>
      <c r="L91" s="241"/>
      <c r="M91" s="13"/>
      <c r="N91" s="16"/>
      <c r="O91" s="9"/>
      <c r="P91" s="9"/>
      <c r="Q91" s="9"/>
      <c r="R91" s="9"/>
      <c r="S91" s="9"/>
      <c r="T91" s="9"/>
      <c r="U91" s="9"/>
    </row>
    <row r="92" spans="1:21" x14ac:dyDescent="0.25">
      <c r="A92" s="246"/>
      <c r="B92" s="185" t="s">
        <v>151</v>
      </c>
      <c r="C92" s="89" t="s">
        <v>152</v>
      </c>
      <c r="D92" s="68" t="s">
        <v>146</v>
      </c>
      <c r="E92" s="142">
        <v>181000</v>
      </c>
      <c r="F92" s="64">
        <v>26686640</v>
      </c>
      <c r="G92" s="80">
        <v>185800</v>
      </c>
      <c r="H92" s="183">
        <v>28576040.000776272</v>
      </c>
      <c r="I92" s="80">
        <v>185324</v>
      </c>
      <c r="J92" s="183">
        <v>27961685.123721641</v>
      </c>
      <c r="K92" s="74">
        <f t="shared" si="5"/>
        <v>-476</v>
      </c>
      <c r="L92" s="241"/>
      <c r="M92" s="13"/>
      <c r="N92" s="16"/>
      <c r="O92" s="9"/>
      <c r="P92" s="9"/>
      <c r="Q92" s="9"/>
      <c r="R92" s="9"/>
      <c r="S92" s="9"/>
      <c r="T92" s="9"/>
      <c r="U92" s="9"/>
    </row>
    <row r="93" spans="1:21" x14ac:dyDescent="0.25">
      <c r="A93" s="246"/>
      <c r="B93" s="185" t="s">
        <v>24</v>
      </c>
      <c r="C93" s="89" t="s">
        <v>25</v>
      </c>
      <c r="D93" s="68" t="s">
        <v>21</v>
      </c>
      <c r="E93" s="142">
        <v>4121</v>
      </c>
      <c r="F93" s="64">
        <v>8975558</v>
      </c>
      <c r="G93" s="80">
        <v>5073</v>
      </c>
      <c r="H93" s="183">
        <v>12778895.91</v>
      </c>
      <c r="I93" s="80">
        <v>5073</v>
      </c>
      <c r="J93" s="183">
        <v>12455462.1</v>
      </c>
      <c r="K93" s="74">
        <f t="shared" si="5"/>
        <v>0</v>
      </c>
      <c r="L93" s="241"/>
      <c r="M93" s="13"/>
      <c r="N93" s="16"/>
      <c r="O93" s="9"/>
      <c r="P93" s="9"/>
      <c r="Q93" s="9"/>
      <c r="R93" s="9"/>
      <c r="S93" s="9"/>
      <c r="T93" s="9"/>
      <c r="U93" s="9"/>
    </row>
    <row r="94" spans="1:21" x14ac:dyDescent="0.25">
      <c r="A94" s="246"/>
      <c r="B94" s="185" t="s">
        <v>26</v>
      </c>
      <c r="C94" s="89" t="s">
        <v>25</v>
      </c>
      <c r="D94" s="68" t="s">
        <v>21</v>
      </c>
      <c r="E94" s="142">
        <v>2575</v>
      </c>
      <c r="F94" s="64">
        <v>4125150</v>
      </c>
      <c r="G94" s="80">
        <v>2978</v>
      </c>
      <c r="H94" s="183">
        <v>5226459.16</v>
      </c>
      <c r="I94" s="80">
        <v>2978</v>
      </c>
      <c r="J94" s="183">
        <v>5193951.2300000004</v>
      </c>
      <c r="K94" s="74">
        <f t="shared" si="5"/>
        <v>0</v>
      </c>
      <c r="L94" s="241"/>
      <c r="M94" s="13"/>
      <c r="N94" s="16"/>
      <c r="O94" s="9"/>
      <c r="P94" s="9"/>
      <c r="Q94" s="9"/>
      <c r="R94" s="9"/>
      <c r="S94" s="9"/>
      <c r="T94" s="9"/>
      <c r="U94" s="9"/>
    </row>
    <row r="95" spans="1:21" ht="50.25" customHeight="1" x14ac:dyDescent="0.25">
      <c r="A95" s="246"/>
      <c r="B95" s="185" t="s">
        <v>95</v>
      </c>
      <c r="C95" s="89" t="s">
        <v>25</v>
      </c>
      <c r="D95" s="68" t="s">
        <v>21</v>
      </c>
      <c r="E95" s="142">
        <v>18831</v>
      </c>
      <c r="F95" s="64">
        <v>25120554</v>
      </c>
      <c r="G95" s="80">
        <v>17476</v>
      </c>
      <c r="H95" s="183">
        <v>24287969.960000001</v>
      </c>
      <c r="I95" s="80">
        <v>17448</v>
      </c>
      <c r="J95" s="183">
        <v>23726008.149999999</v>
      </c>
      <c r="K95" s="74">
        <f t="shared" si="5"/>
        <v>-28</v>
      </c>
      <c r="L95" s="241"/>
      <c r="M95" s="13"/>
      <c r="N95" s="16"/>
      <c r="O95" s="9"/>
      <c r="P95" s="9"/>
      <c r="Q95" s="9"/>
      <c r="R95" s="9"/>
      <c r="S95" s="9"/>
      <c r="T95" s="9"/>
      <c r="U95" s="9"/>
    </row>
    <row r="96" spans="1:21" x14ac:dyDescent="0.25">
      <c r="A96" s="246"/>
      <c r="B96" s="185" t="s">
        <v>96</v>
      </c>
      <c r="C96" s="89" t="s">
        <v>25</v>
      </c>
      <c r="D96" s="68" t="s">
        <v>21</v>
      </c>
      <c r="E96" s="142">
        <v>5873</v>
      </c>
      <c r="F96" s="64">
        <v>4351893</v>
      </c>
      <c r="G96" s="80">
        <v>5873</v>
      </c>
      <c r="H96" s="183">
        <v>5103576.41</v>
      </c>
      <c r="I96" s="80">
        <v>5896</v>
      </c>
      <c r="J96" s="183">
        <v>5053160.0199999996</v>
      </c>
      <c r="K96" s="74">
        <f t="shared" si="5"/>
        <v>23</v>
      </c>
      <c r="L96" s="241"/>
      <c r="M96" s="13"/>
      <c r="N96" s="16"/>
      <c r="O96" s="9"/>
      <c r="P96" s="9"/>
      <c r="Q96" s="9"/>
      <c r="R96" s="9"/>
      <c r="S96" s="9"/>
      <c r="T96" s="9"/>
      <c r="U96" s="9"/>
    </row>
    <row r="97" spans="1:21" ht="25.5" x14ac:dyDescent="0.25">
      <c r="A97" s="246"/>
      <c r="B97" s="185" t="s">
        <v>28</v>
      </c>
      <c r="C97" s="89" t="s">
        <v>35</v>
      </c>
      <c r="D97" s="68" t="s">
        <v>27</v>
      </c>
      <c r="E97" s="142">
        <v>25</v>
      </c>
      <c r="F97" s="64">
        <v>7826775</v>
      </c>
      <c r="G97" s="80">
        <v>25</v>
      </c>
      <c r="H97" s="183">
        <v>10498567.51</v>
      </c>
      <c r="I97" s="80">
        <v>25</v>
      </c>
      <c r="J97" s="183">
        <v>10307583.41</v>
      </c>
      <c r="K97" s="74">
        <f t="shared" si="5"/>
        <v>0</v>
      </c>
      <c r="L97" s="241"/>
      <c r="M97" s="13"/>
      <c r="N97" s="16"/>
      <c r="O97" s="9"/>
      <c r="P97" s="9"/>
      <c r="Q97" s="9"/>
      <c r="R97" s="9"/>
      <c r="S97" s="9"/>
      <c r="T97" s="9"/>
      <c r="U97" s="9"/>
    </row>
    <row r="98" spans="1:21" ht="25.5" x14ac:dyDescent="0.25">
      <c r="A98" s="246"/>
      <c r="B98" s="185" t="s">
        <v>29</v>
      </c>
      <c r="C98" s="89" t="s">
        <v>36</v>
      </c>
      <c r="D98" s="68" t="s">
        <v>27</v>
      </c>
      <c r="E98" s="142">
        <v>21638</v>
      </c>
      <c r="F98" s="64">
        <f>18284120-251</f>
        <v>18283869</v>
      </c>
      <c r="G98" s="80">
        <v>21638</v>
      </c>
      <c r="H98" s="183">
        <v>19679153.050000001</v>
      </c>
      <c r="I98" s="80">
        <v>21663</v>
      </c>
      <c r="J98" s="183">
        <f>19485459.96+13719</f>
        <v>19499178.960000001</v>
      </c>
      <c r="K98" s="74">
        <f t="shared" si="5"/>
        <v>25</v>
      </c>
      <c r="L98" s="241"/>
      <c r="M98" s="13"/>
      <c r="N98" s="16"/>
      <c r="S98" s="9"/>
      <c r="T98" s="9"/>
      <c r="U98" s="9"/>
    </row>
    <row r="99" spans="1:21" ht="21.75" customHeight="1" thickBot="1" x14ac:dyDescent="0.3">
      <c r="A99" s="246"/>
      <c r="B99" s="188"/>
      <c r="C99" s="87" t="s">
        <v>135</v>
      </c>
      <c r="D99" s="189"/>
      <c r="E99" s="190" t="s">
        <v>137</v>
      </c>
      <c r="F99" s="191">
        <f>146589+251</f>
        <v>146840</v>
      </c>
      <c r="G99" s="192" t="s">
        <v>137</v>
      </c>
      <c r="H99" s="193">
        <v>197551</v>
      </c>
      <c r="I99" s="192" t="s">
        <v>137</v>
      </c>
      <c r="J99" s="193">
        <f>196051-13719</f>
        <v>182332</v>
      </c>
      <c r="K99" s="74"/>
      <c r="L99" s="194"/>
      <c r="M99" s="13"/>
      <c r="N99" s="16"/>
      <c r="S99" s="9"/>
      <c r="T99" s="9"/>
      <c r="U99" s="9"/>
    </row>
    <row r="100" spans="1:21" ht="35.25" customHeight="1" thickBot="1" x14ac:dyDescent="0.3">
      <c r="A100" s="247" t="s">
        <v>15</v>
      </c>
      <c r="B100" s="117" t="s">
        <v>14</v>
      </c>
      <c r="C100" s="118" t="s">
        <v>19</v>
      </c>
      <c r="D100" s="119" t="s">
        <v>14</v>
      </c>
      <c r="E100" s="119" t="s">
        <v>14</v>
      </c>
      <c r="F100" s="120">
        <f>SUM(F101:F174)</f>
        <v>305880299.99999988</v>
      </c>
      <c r="G100" s="121" t="s">
        <v>137</v>
      </c>
      <c r="H100" s="120">
        <f>SUM(H101:H174)</f>
        <v>358713728.72999996</v>
      </c>
      <c r="I100" s="121" t="s">
        <v>137</v>
      </c>
      <c r="J100" s="120">
        <f>SUM(J101:J174)</f>
        <v>355573931.87999994</v>
      </c>
      <c r="K100" s="119" t="s">
        <v>14</v>
      </c>
      <c r="L100" s="122" t="s">
        <v>14</v>
      </c>
      <c r="M100" s="13">
        <v>274733900</v>
      </c>
      <c r="N100" s="17">
        <v>294335187.93000001</v>
      </c>
      <c r="O100" s="18">
        <v>293971675.30000001</v>
      </c>
      <c r="P100" s="19"/>
      <c r="Q100" s="19"/>
      <c r="R100" s="19"/>
      <c r="S100" s="9"/>
      <c r="T100" s="9"/>
      <c r="U100" s="9"/>
    </row>
    <row r="101" spans="1:21" ht="40.5" customHeight="1" x14ac:dyDescent="0.25">
      <c r="A101" s="242"/>
      <c r="B101" s="59" t="s">
        <v>304</v>
      </c>
      <c r="C101" s="71" t="s">
        <v>153</v>
      </c>
      <c r="D101" s="72" t="s">
        <v>21</v>
      </c>
      <c r="E101" s="73">
        <v>34</v>
      </c>
      <c r="F101" s="62">
        <f>2342+231720.2</f>
        <v>234062.2</v>
      </c>
      <c r="G101" s="61">
        <v>72</v>
      </c>
      <c r="H101" s="62">
        <v>579269.41</v>
      </c>
      <c r="I101" s="61">
        <v>72</v>
      </c>
      <c r="J101" s="62">
        <v>579267.41</v>
      </c>
      <c r="K101" s="74">
        <f t="shared" ref="K101:K135" si="6">G101-I101</f>
        <v>0</v>
      </c>
      <c r="L101" s="124"/>
      <c r="M101" s="13"/>
      <c r="N101" s="17"/>
      <c r="O101" s="18"/>
      <c r="P101" s="19"/>
      <c r="Q101" s="19"/>
      <c r="R101" s="19"/>
      <c r="S101" s="9"/>
      <c r="T101" s="9"/>
      <c r="U101" s="9"/>
    </row>
    <row r="102" spans="1:21" ht="40.5" customHeight="1" x14ac:dyDescent="0.25">
      <c r="A102" s="242"/>
      <c r="B102" s="75" t="s">
        <v>154</v>
      </c>
      <c r="C102" s="76" t="s">
        <v>155</v>
      </c>
      <c r="D102" s="77" t="s">
        <v>21</v>
      </c>
      <c r="E102" s="78">
        <v>169</v>
      </c>
      <c r="F102" s="62">
        <v>1151785.7</v>
      </c>
      <c r="G102" s="63">
        <v>172</v>
      </c>
      <c r="H102" s="64">
        <v>1383805.48</v>
      </c>
      <c r="I102" s="61">
        <v>172</v>
      </c>
      <c r="J102" s="62">
        <v>1383805.48</v>
      </c>
      <c r="K102" s="74">
        <f t="shared" si="6"/>
        <v>0</v>
      </c>
      <c r="L102" s="49"/>
      <c r="M102" s="13"/>
      <c r="N102" s="17"/>
      <c r="O102" s="18"/>
      <c r="P102" s="19"/>
      <c r="Q102" s="19"/>
      <c r="R102" s="19"/>
      <c r="S102" s="9"/>
      <c r="T102" s="9"/>
      <c r="U102" s="9"/>
    </row>
    <row r="103" spans="1:21" ht="40.5" customHeight="1" x14ac:dyDescent="0.25">
      <c r="A103" s="242"/>
      <c r="B103" s="75" t="s">
        <v>156</v>
      </c>
      <c r="C103" s="76" t="s">
        <v>157</v>
      </c>
      <c r="D103" s="77" t="s">
        <v>21</v>
      </c>
      <c r="E103" s="78">
        <v>162</v>
      </c>
      <c r="F103" s="62">
        <v>1104078.6000000001</v>
      </c>
      <c r="G103" s="63">
        <v>160</v>
      </c>
      <c r="H103" s="64">
        <v>1287260.92</v>
      </c>
      <c r="I103" s="61">
        <v>160</v>
      </c>
      <c r="J103" s="62">
        <v>1287260.92</v>
      </c>
      <c r="K103" s="74">
        <f t="shared" si="6"/>
        <v>0</v>
      </c>
      <c r="L103" s="49"/>
      <c r="M103" s="13"/>
      <c r="N103" s="17"/>
      <c r="O103" s="18"/>
      <c r="P103" s="19"/>
      <c r="Q103" s="19"/>
      <c r="R103" s="19"/>
      <c r="S103" s="9"/>
      <c r="T103" s="9"/>
      <c r="U103" s="9"/>
    </row>
    <row r="104" spans="1:21" ht="39.75" customHeight="1" x14ac:dyDescent="0.25">
      <c r="A104" s="242"/>
      <c r="B104" s="75" t="s">
        <v>158</v>
      </c>
      <c r="C104" s="76" t="s">
        <v>159</v>
      </c>
      <c r="D104" s="77" t="s">
        <v>21</v>
      </c>
      <c r="E104" s="78">
        <v>76</v>
      </c>
      <c r="F104" s="62">
        <v>517962.8</v>
      </c>
      <c r="G104" s="63">
        <v>89</v>
      </c>
      <c r="H104" s="64">
        <v>716038.88</v>
      </c>
      <c r="I104" s="61">
        <v>89</v>
      </c>
      <c r="J104" s="62">
        <v>716038.88</v>
      </c>
      <c r="K104" s="74">
        <f t="shared" si="6"/>
        <v>0</v>
      </c>
      <c r="L104" s="49"/>
      <c r="M104" s="13"/>
      <c r="N104" s="17"/>
      <c r="O104" s="18"/>
      <c r="P104" s="19"/>
      <c r="Q104" s="19"/>
      <c r="R104" s="19"/>
      <c r="S104" s="9"/>
      <c r="T104" s="9"/>
      <c r="U104" s="9"/>
    </row>
    <row r="105" spans="1:21" ht="38.25" customHeight="1" x14ac:dyDescent="0.25">
      <c r="A105" s="242"/>
      <c r="B105" s="75" t="s">
        <v>160</v>
      </c>
      <c r="C105" s="76" t="s">
        <v>161</v>
      </c>
      <c r="D105" s="77" t="s">
        <v>21</v>
      </c>
      <c r="E105" s="78">
        <v>48</v>
      </c>
      <c r="F105" s="62">
        <v>327134.40000000002</v>
      </c>
      <c r="G105" s="63">
        <v>102</v>
      </c>
      <c r="H105" s="64">
        <v>820628.83</v>
      </c>
      <c r="I105" s="61">
        <v>102</v>
      </c>
      <c r="J105" s="62">
        <v>820628.83</v>
      </c>
      <c r="K105" s="74">
        <f t="shared" si="6"/>
        <v>0</v>
      </c>
      <c r="L105" s="49"/>
      <c r="M105" s="13"/>
      <c r="N105" s="17"/>
      <c r="O105" s="18"/>
      <c r="P105" s="19"/>
      <c r="Q105" s="19"/>
      <c r="R105" s="19"/>
      <c r="S105" s="9"/>
      <c r="T105" s="9"/>
      <c r="U105" s="9"/>
    </row>
    <row r="106" spans="1:21" ht="42.75" customHeight="1" x14ac:dyDescent="0.25">
      <c r="A106" s="242"/>
      <c r="B106" s="79" t="s">
        <v>162</v>
      </c>
      <c r="C106" s="76" t="s">
        <v>163</v>
      </c>
      <c r="D106" s="77" t="s">
        <v>21</v>
      </c>
      <c r="E106" s="78">
        <v>67</v>
      </c>
      <c r="F106" s="62">
        <v>456625.10000000003</v>
      </c>
      <c r="G106" s="80">
        <v>91</v>
      </c>
      <c r="H106" s="64">
        <v>732129.65</v>
      </c>
      <c r="I106" s="61">
        <v>91</v>
      </c>
      <c r="J106" s="62">
        <v>732129.65</v>
      </c>
      <c r="K106" s="74">
        <f t="shared" si="6"/>
        <v>0</v>
      </c>
      <c r="L106" s="49"/>
      <c r="M106" s="13"/>
      <c r="N106" s="17"/>
      <c r="O106" s="18"/>
      <c r="P106" s="19"/>
      <c r="Q106" s="19"/>
      <c r="R106" s="19"/>
      <c r="S106" s="9"/>
      <c r="T106" s="9"/>
      <c r="U106" s="9"/>
    </row>
    <row r="107" spans="1:21" ht="41.25" customHeight="1" x14ac:dyDescent="0.25">
      <c r="A107" s="242"/>
      <c r="B107" s="79" t="s">
        <v>278</v>
      </c>
      <c r="C107" s="76" t="s">
        <v>305</v>
      </c>
      <c r="D107" s="77" t="s">
        <v>21</v>
      </c>
      <c r="E107" s="78">
        <v>11</v>
      </c>
      <c r="F107" s="62">
        <v>74968.3</v>
      </c>
      <c r="G107" s="80">
        <v>15</v>
      </c>
      <c r="H107" s="64">
        <v>120680.71</v>
      </c>
      <c r="I107" s="61">
        <v>15</v>
      </c>
      <c r="J107" s="62">
        <v>120680.71</v>
      </c>
      <c r="K107" s="74">
        <f t="shared" si="6"/>
        <v>0</v>
      </c>
      <c r="L107" s="49"/>
      <c r="M107" s="13"/>
      <c r="N107" s="17"/>
      <c r="O107" s="18"/>
      <c r="P107" s="19"/>
      <c r="Q107" s="19"/>
      <c r="R107" s="19"/>
      <c r="S107" s="9"/>
      <c r="T107" s="9"/>
      <c r="U107" s="9"/>
    </row>
    <row r="108" spans="1:21" ht="35.25" customHeight="1" x14ac:dyDescent="0.25">
      <c r="A108" s="242"/>
      <c r="B108" s="75" t="s">
        <v>164</v>
      </c>
      <c r="C108" s="76" t="s">
        <v>255</v>
      </c>
      <c r="D108" s="77" t="s">
        <v>21</v>
      </c>
      <c r="E108" s="78">
        <v>38</v>
      </c>
      <c r="F108" s="62">
        <v>258981.4</v>
      </c>
      <c r="G108" s="81">
        <v>35</v>
      </c>
      <c r="H108" s="64">
        <v>281588.33</v>
      </c>
      <c r="I108" s="61">
        <v>35</v>
      </c>
      <c r="J108" s="62">
        <v>281588.33</v>
      </c>
      <c r="K108" s="74">
        <f t="shared" si="6"/>
        <v>0</v>
      </c>
      <c r="L108" s="49"/>
      <c r="M108" s="13"/>
      <c r="N108" s="17"/>
      <c r="O108" s="18"/>
      <c r="P108" s="19"/>
      <c r="Q108" s="19"/>
      <c r="R108" s="19"/>
      <c r="S108" s="9"/>
      <c r="T108" s="9"/>
      <c r="U108" s="9"/>
    </row>
    <row r="109" spans="1:21" ht="39.75" customHeight="1" x14ac:dyDescent="0.25">
      <c r="A109" s="242"/>
      <c r="B109" s="75" t="s">
        <v>165</v>
      </c>
      <c r="C109" s="76" t="s">
        <v>256</v>
      </c>
      <c r="D109" s="77" t="s">
        <v>21</v>
      </c>
      <c r="E109" s="78">
        <v>48</v>
      </c>
      <c r="F109" s="62">
        <v>327134.40000000002</v>
      </c>
      <c r="G109" s="81">
        <v>72</v>
      </c>
      <c r="H109" s="64">
        <v>579267.41</v>
      </c>
      <c r="I109" s="61">
        <v>72</v>
      </c>
      <c r="J109" s="62">
        <v>579267.41</v>
      </c>
      <c r="K109" s="74">
        <f t="shared" si="6"/>
        <v>0</v>
      </c>
      <c r="L109" s="49"/>
      <c r="M109" s="13"/>
      <c r="N109" s="17"/>
      <c r="O109" s="18"/>
      <c r="P109" s="19"/>
      <c r="Q109" s="19"/>
      <c r="R109" s="19"/>
      <c r="S109" s="9"/>
      <c r="T109" s="9"/>
      <c r="U109" s="9"/>
    </row>
    <row r="110" spans="1:21" ht="39" customHeight="1" x14ac:dyDescent="0.25">
      <c r="A110" s="242"/>
      <c r="B110" s="75" t="s">
        <v>166</v>
      </c>
      <c r="C110" s="76" t="s">
        <v>257</v>
      </c>
      <c r="D110" s="77" t="s">
        <v>21</v>
      </c>
      <c r="E110" s="78">
        <v>91</v>
      </c>
      <c r="F110" s="62">
        <v>620192.30000000005</v>
      </c>
      <c r="G110" s="81">
        <v>63</v>
      </c>
      <c r="H110" s="64">
        <v>506858.99</v>
      </c>
      <c r="I110" s="61">
        <v>63</v>
      </c>
      <c r="J110" s="62">
        <v>506858.99</v>
      </c>
      <c r="K110" s="74">
        <f t="shared" si="6"/>
        <v>0</v>
      </c>
      <c r="L110" s="49"/>
      <c r="M110" s="13"/>
      <c r="N110" s="17"/>
      <c r="O110" s="18"/>
      <c r="P110" s="19"/>
      <c r="Q110" s="19"/>
      <c r="R110" s="19"/>
      <c r="S110" s="9"/>
      <c r="T110" s="9"/>
      <c r="U110" s="9"/>
    </row>
    <row r="111" spans="1:21" ht="38.25" customHeight="1" x14ac:dyDescent="0.25">
      <c r="A111" s="242"/>
      <c r="B111" s="75" t="s">
        <v>167</v>
      </c>
      <c r="C111" s="76" t="s">
        <v>258</v>
      </c>
      <c r="D111" s="77" t="s">
        <v>21</v>
      </c>
      <c r="E111" s="78">
        <v>148</v>
      </c>
      <c r="F111" s="62">
        <v>1008664.4</v>
      </c>
      <c r="G111" s="81">
        <v>106</v>
      </c>
      <c r="H111" s="64">
        <v>852810.36</v>
      </c>
      <c r="I111" s="61">
        <v>106</v>
      </c>
      <c r="J111" s="62">
        <v>852810.36</v>
      </c>
      <c r="K111" s="74">
        <f t="shared" si="6"/>
        <v>0</v>
      </c>
      <c r="L111" s="49"/>
      <c r="M111" s="13"/>
      <c r="N111" s="17"/>
      <c r="O111" s="18"/>
      <c r="P111" s="19"/>
      <c r="Q111" s="19"/>
      <c r="R111" s="19"/>
      <c r="S111" s="9"/>
      <c r="T111" s="9"/>
      <c r="U111" s="9"/>
    </row>
    <row r="112" spans="1:21" ht="35.25" customHeight="1" x14ac:dyDescent="0.25">
      <c r="A112" s="242"/>
      <c r="B112" s="75" t="s">
        <v>168</v>
      </c>
      <c r="C112" s="76" t="s">
        <v>259</v>
      </c>
      <c r="D112" s="77" t="s">
        <v>21</v>
      </c>
      <c r="E112" s="78">
        <v>114</v>
      </c>
      <c r="F112" s="62">
        <v>776944.20000000007</v>
      </c>
      <c r="G112" s="81">
        <v>84</v>
      </c>
      <c r="H112" s="64">
        <v>675811.98</v>
      </c>
      <c r="I112" s="61">
        <v>84</v>
      </c>
      <c r="J112" s="62">
        <v>675811.98</v>
      </c>
      <c r="K112" s="74">
        <f t="shared" si="6"/>
        <v>0</v>
      </c>
      <c r="L112" s="49"/>
      <c r="M112" s="13"/>
      <c r="N112" s="17"/>
      <c r="O112" s="18"/>
      <c r="P112" s="19"/>
      <c r="Q112" s="19"/>
      <c r="R112" s="19"/>
      <c r="S112" s="9"/>
      <c r="T112" s="9"/>
      <c r="U112" s="9"/>
    </row>
    <row r="113" spans="1:21" ht="39" customHeight="1" x14ac:dyDescent="0.25">
      <c r="A113" s="242"/>
      <c r="B113" s="75" t="s">
        <v>169</v>
      </c>
      <c r="C113" s="76" t="s">
        <v>170</v>
      </c>
      <c r="D113" s="77" t="s">
        <v>21</v>
      </c>
      <c r="E113" s="78">
        <v>8</v>
      </c>
      <c r="F113" s="62">
        <v>54522.400000000001</v>
      </c>
      <c r="G113" s="81">
        <v>7</v>
      </c>
      <c r="H113" s="64">
        <v>56317.67</v>
      </c>
      <c r="I113" s="61">
        <v>7</v>
      </c>
      <c r="J113" s="62">
        <v>56317.67</v>
      </c>
      <c r="K113" s="74">
        <f t="shared" si="6"/>
        <v>0</v>
      </c>
      <c r="L113" s="49"/>
      <c r="M113" s="13"/>
      <c r="N113" s="17"/>
      <c r="O113" s="18"/>
      <c r="P113" s="19"/>
      <c r="Q113" s="19"/>
      <c r="R113" s="19"/>
      <c r="S113" s="9"/>
      <c r="T113" s="9"/>
      <c r="U113" s="9"/>
    </row>
    <row r="114" spans="1:21" ht="40.5" customHeight="1" x14ac:dyDescent="0.25">
      <c r="A114" s="242"/>
      <c r="B114" s="75" t="s">
        <v>171</v>
      </c>
      <c r="C114" s="76" t="s">
        <v>172</v>
      </c>
      <c r="D114" s="77" t="s">
        <v>21</v>
      </c>
      <c r="E114" s="78">
        <v>2</v>
      </c>
      <c r="F114" s="62">
        <v>13630.6</v>
      </c>
      <c r="G114" s="81">
        <v>1</v>
      </c>
      <c r="H114" s="64">
        <v>8045.38</v>
      </c>
      <c r="I114" s="61">
        <v>1</v>
      </c>
      <c r="J114" s="62">
        <v>8045.38</v>
      </c>
      <c r="K114" s="74">
        <f t="shared" si="6"/>
        <v>0</v>
      </c>
      <c r="L114" s="49"/>
      <c r="M114" s="13"/>
      <c r="N114" s="17"/>
      <c r="O114" s="18"/>
      <c r="P114" s="19"/>
      <c r="Q114" s="19"/>
      <c r="R114" s="19"/>
      <c r="S114" s="9"/>
      <c r="T114" s="9"/>
      <c r="U114" s="9"/>
    </row>
    <row r="115" spans="1:21" ht="35.25" customHeight="1" x14ac:dyDescent="0.25">
      <c r="A115" s="242"/>
      <c r="B115" s="75" t="s">
        <v>169</v>
      </c>
      <c r="C115" s="76" t="s">
        <v>306</v>
      </c>
      <c r="D115" s="77" t="s">
        <v>21</v>
      </c>
      <c r="E115" s="78">
        <v>0</v>
      </c>
      <c r="F115" s="62">
        <v>0</v>
      </c>
      <c r="G115" s="81">
        <v>2</v>
      </c>
      <c r="H115" s="64">
        <v>16090.76</v>
      </c>
      <c r="I115" s="61">
        <v>2</v>
      </c>
      <c r="J115" s="62">
        <v>16090.76</v>
      </c>
      <c r="K115" s="74">
        <f t="shared" si="6"/>
        <v>0</v>
      </c>
      <c r="L115" s="49"/>
      <c r="M115" s="13"/>
      <c r="N115" s="17"/>
      <c r="O115" s="18"/>
      <c r="P115" s="19"/>
      <c r="Q115" s="19"/>
      <c r="R115" s="19"/>
      <c r="S115" s="9"/>
      <c r="T115" s="9"/>
      <c r="U115" s="9"/>
    </row>
    <row r="116" spans="1:21" ht="40.5" customHeight="1" x14ac:dyDescent="0.25">
      <c r="A116" s="242"/>
      <c r="B116" s="75" t="s">
        <v>173</v>
      </c>
      <c r="C116" s="76" t="s">
        <v>174</v>
      </c>
      <c r="D116" s="77" t="s">
        <v>21</v>
      </c>
      <c r="E116" s="78">
        <v>74</v>
      </c>
      <c r="F116" s="62">
        <v>504332.2</v>
      </c>
      <c r="G116" s="81">
        <v>66</v>
      </c>
      <c r="H116" s="64">
        <v>530995.13</v>
      </c>
      <c r="I116" s="61">
        <v>66</v>
      </c>
      <c r="J116" s="62">
        <v>530995.13</v>
      </c>
      <c r="K116" s="74">
        <f t="shared" si="6"/>
        <v>0</v>
      </c>
      <c r="L116" s="49"/>
      <c r="M116" s="13"/>
      <c r="N116" s="17"/>
      <c r="O116" s="18"/>
      <c r="P116" s="19"/>
      <c r="Q116" s="19"/>
      <c r="R116" s="19"/>
      <c r="S116" s="9"/>
      <c r="T116" s="9"/>
      <c r="U116" s="9"/>
    </row>
    <row r="117" spans="1:21" ht="42" customHeight="1" x14ac:dyDescent="0.25">
      <c r="A117" s="242"/>
      <c r="B117" s="75" t="s">
        <v>175</v>
      </c>
      <c r="C117" s="76" t="s">
        <v>176</v>
      </c>
      <c r="D117" s="77" t="s">
        <v>21</v>
      </c>
      <c r="E117" s="78">
        <v>101</v>
      </c>
      <c r="F117" s="62">
        <v>688345.3</v>
      </c>
      <c r="G117" s="81">
        <v>108</v>
      </c>
      <c r="H117" s="64">
        <v>868901.12</v>
      </c>
      <c r="I117" s="61">
        <v>108</v>
      </c>
      <c r="J117" s="62">
        <v>868901.12</v>
      </c>
      <c r="K117" s="74">
        <f t="shared" si="6"/>
        <v>0</v>
      </c>
      <c r="L117" s="49"/>
      <c r="M117" s="13"/>
      <c r="N117" s="17"/>
      <c r="O117" s="18"/>
      <c r="P117" s="19"/>
      <c r="Q117" s="19"/>
      <c r="R117" s="19"/>
      <c r="S117" s="9"/>
      <c r="T117" s="9"/>
      <c r="U117" s="9"/>
    </row>
    <row r="118" spans="1:21" ht="39.75" customHeight="1" x14ac:dyDescent="0.25">
      <c r="A118" s="242"/>
      <c r="B118" s="75" t="s">
        <v>177</v>
      </c>
      <c r="C118" s="76" t="s">
        <v>178</v>
      </c>
      <c r="D118" s="77" t="s">
        <v>21</v>
      </c>
      <c r="E118" s="78">
        <v>31</v>
      </c>
      <c r="F118" s="62">
        <v>211274.30000000002</v>
      </c>
      <c r="G118" s="81">
        <v>26</v>
      </c>
      <c r="H118" s="64">
        <v>209179.9</v>
      </c>
      <c r="I118" s="61">
        <v>26</v>
      </c>
      <c r="J118" s="62">
        <v>209179.9</v>
      </c>
      <c r="K118" s="74">
        <f t="shared" si="6"/>
        <v>0</v>
      </c>
      <c r="L118" s="49"/>
      <c r="M118" s="13"/>
      <c r="N118" s="17"/>
      <c r="O118" s="18"/>
      <c r="P118" s="19"/>
      <c r="Q118" s="19"/>
      <c r="R118" s="19"/>
      <c r="S118" s="9"/>
      <c r="T118" s="9"/>
      <c r="U118" s="9"/>
    </row>
    <row r="119" spans="1:21" ht="35.25" customHeight="1" x14ac:dyDescent="0.25">
      <c r="A119" s="242"/>
      <c r="B119" s="75" t="s">
        <v>179</v>
      </c>
      <c r="C119" s="76" t="s">
        <v>180</v>
      </c>
      <c r="D119" s="77" t="s">
        <v>21</v>
      </c>
      <c r="E119" s="78">
        <v>61</v>
      </c>
      <c r="F119" s="62">
        <v>415733.3</v>
      </c>
      <c r="G119" s="81">
        <v>79</v>
      </c>
      <c r="H119" s="64">
        <v>635585.07999999996</v>
      </c>
      <c r="I119" s="61">
        <v>79</v>
      </c>
      <c r="J119" s="62">
        <v>635585.07999999996</v>
      </c>
      <c r="K119" s="74">
        <f t="shared" si="6"/>
        <v>0</v>
      </c>
      <c r="L119" s="49"/>
      <c r="M119" s="13"/>
      <c r="N119" s="17"/>
      <c r="O119" s="18"/>
      <c r="P119" s="19"/>
      <c r="Q119" s="19"/>
      <c r="R119" s="19"/>
      <c r="S119" s="9"/>
      <c r="T119" s="9"/>
      <c r="U119" s="9"/>
    </row>
    <row r="120" spans="1:21" ht="39" customHeight="1" x14ac:dyDescent="0.25">
      <c r="A120" s="242"/>
      <c r="B120" s="75" t="s">
        <v>181</v>
      </c>
      <c r="C120" s="76" t="s">
        <v>182</v>
      </c>
      <c r="D120" s="77" t="s">
        <v>21</v>
      </c>
      <c r="E120" s="78">
        <v>42</v>
      </c>
      <c r="F120" s="62">
        <v>286242.60000000003</v>
      </c>
      <c r="G120" s="81">
        <v>32</v>
      </c>
      <c r="H120" s="64">
        <v>257452.18</v>
      </c>
      <c r="I120" s="61">
        <v>32</v>
      </c>
      <c r="J120" s="62">
        <v>257452.18</v>
      </c>
      <c r="K120" s="74">
        <f t="shared" si="6"/>
        <v>0</v>
      </c>
      <c r="L120" s="49"/>
      <c r="M120" s="13"/>
      <c r="N120" s="17"/>
      <c r="O120" s="18"/>
      <c r="P120" s="19"/>
      <c r="Q120" s="19"/>
      <c r="R120" s="19"/>
      <c r="S120" s="9"/>
      <c r="T120" s="9"/>
      <c r="U120" s="9"/>
    </row>
    <row r="121" spans="1:21" ht="39" customHeight="1" x14ac:dyDescent="0.25">
      <c r="A121" s="242"/>
      <c r="B121" s="75" t="s">
        <v>183</v>
      </c>
      <c r="C121" s="76" t="s">
        <v>184</v>
      </c>
      <c r="D121" s="77" t="s">
        <v>21</v>
      </c>
      <c r="E121" s="78">
        <v>63</v>
      </c>
      <c r="F121" s="62">
        <v>429363.9</v>
      </c>
      <c r="G121" s="81">
        <v>46</v>
      </c>
      <c r="H121" s="64">
        <v>370087.51</v>
      </c>
      <c r="I121" s="61">
        <v>46</v>
      </c>
      <c r="J121" s="62">
        <v>370087.51</v>
      </c>
      <c r="K121" s="74">
        <f t="shared" si="6"/>
        <v>0</v>
      </c>
      <c r="L121" s="49"/>
      <c r="M121" s="13"/>
      <c r="N121" s="17"/>
      <c r="O121" s="18"/>
      <c r="P121" s="19"/>
      <c r="Q121" s="19"/>
      <c r="R121" s="19"/>
      <c r="S121" s="9"/>
      <c r="T121" s="9"/>
      <c r="U121" s="9"/>
    </row>
    <row r="122" spans="1:21" ht="35.25" customHeight="1" x14ac:dyDescent="0.25">
      <c r="A122" s="242"/>
      <c r="B122" s="75" t="s">
        <v>279</v>
      </c>
      <c r="C122" s="76" t="s">
        <v>260</v>
      </c>
      <c r="D122" s="77" t="s">
        <v>21</v>
      </c>
      <c r="E122" s="78">
        <v>19</v>
      </c>
      <c r="F122" s="62">
        <v>129490.7</v>
      </c>
      <c r="G122" s="81">
        <v>28</v>
      </c>
      <c r="H122" s="64">
        <v>225270.66</v>
      </c>
      <c r="I122" s="61">
        <v>28</v>
      </c>
      <c r="J122" s="62">
        <v>225270.66</v>
      </c>
      <c r="K122" s="74">
        <f t="shared" si="6"/>
        <v>0</v>
      </c>
      <c r="L122" s="49"/>
      <c r="M122" s="13"/>
      <c r="N122" s="17"/>
      <c r="O122" s="18"/>
      <c r="P122" s="19"/>
      <c r="Q122" s="19"/>
      <c r="R122" s="19"/>
      <c r="S122" s="9"/>
      <c r="T122" s="9"/>
      <c r="U122" s="9"/>
    </row>
    <row r="123" spans="1:21" ht="41.25" customHeight="1" x14ac:dyDescent="0.25">
      <c r="A123" s="242"/>
      <c r="B123" s="75" t="s">
        <v>185</v>
      </c>
      <c r="C123" s="76" t="s">
        <v>261</v>
      </c>
      <c r="D123" s="77" t="s">
        <v>21</v>
      </c>
      <c r="E123" s="78">
        <v>36</v>
      </c>
      <c r="F123" s="62">
        <v>245350.80000000002</v>
      </c>
      <c r="G123" s="81">
        <v>46</v>
      </c>
      <c r="H123" s="64">
        <v>370087.51</v>
      </c>
      <c r="I123" s="61">
        <v>46</v>
      </c>
      <c r="J123" s="62">
        <v>370087.51</v>
      </c>
      <c r="K123" s="74">
        <f t="shared" si="6"/>
        <v>0</v>
      </c>
      <c r="L123" s="49"/>
      <c r="M123" s="13"/>
      <c r="N123" s="17"/>
      <c r="O123" s="18"/>
      <c r="P123" s="19"/>
      <c r="Q123" s="19"/>
      <c r="R123" s="19"/>
      <c r="S123" s="9"/>
      <c r="T123" s="9"/>
      <c r="U123" s="9"/>
    </row>
    <row r="124" spans="1:21" ht="35.25" customHeight="1" x14ac:dyDescent="0.25">
      <c r="A124" s="242"/>
      <c r="B124" s="82" t="s">
        <v>186</v>
      </c>
      <c r="C124" s="76" t="s">
        <v>262</v>
      </c>
      <c r="D124" s="77" t="s">
        <v>21</v>
      </c>
      <c r="E124" s="78">
        <v>12</v>
      </c>
      <c r="F124" s="62">
        <v>81783.600000000006</v>
      </c>
      <c r="G124" s="81">
        <v>22</v>
      </c>
      <c r="H124" s="64">
        <v>176998.38</v>
      </c>
      <c r="I124" s="61">
        <v>22</v>
      </c>
      <c r="J124" s="62">
        <v>176998.38</v>
      </c>
      <c r="K124" s="74">
        <f t="shared" si="6"/>
        <v>0</v>
      </c>
      <c r="L124" s="49"/>
      <c r="M124" s="13"/>
      <c r="N124" s="17"/>
      <c r="O124" s="18"/>
      <c r="P124" s="19"/>
      <c r="Q124" s="19"/>
      <c r="R124" s="19"/>
      <c r="S124" s="9"/>
      <c r="T124" s="9"/>
      <c r="U124" s="9"/>
    </row>
    <row r="125" spans="1:21" ht="40.5" customHeight="1" x14ac:dyDescent="0.25">
      <c r="A125" s="242"/>
      <c r="B125" s="75" t="s">
        <v>187</v>
      </c>
      <c r="C125" s="76" t="s">
        <v>263</v>
      </c>
      <c r="D125" s="77" t="s">
        <v>21</v>
      </c>
      <c r="E125" s="78">
        <v>9</v>
      </c>
      <c r="F125" s="62">
        <v>61337.700000000004</v>
      </c>
      <c r="G125" s="81">
        <v>7</v>
      </c>
      <c r="H125" s="64">
        <v>56317.67</v>
      </c>
      <c r="I125" s="61">
        <v>7</v>
      </c>
      <c r="J125" s="62">
        <v>56317.67</v>
      </c>
      <c r="K125" s="74">
        <f t="shared" si="6"/>
        <v>0</v>
      </c>
      <c r="L125" s="49"/>
      <c r="M125" s="13"/>
      <c r="N125" s="17"/>
      <c r="O125" s="18"/>
      <c r="P125" s="19"/>
      <c r="Q125" s="19"/>
      <c r="R125" s="19"/>
      <c r="S125" s="9"/>
      <c r="T125" s="9"/>
      <c r="U125" s="9"/>
    </row>
    <row r="126" spans="1:21" ht="39.75" customHeight="1" x14ac:dyDescent="0.25">
      <c r="A126" s="242"/>
      <c r="B126" s="82" t="s">
        <v>188</v>
      </c>
      <c r="C126" s="76" t="s">
        <v>264</v>
      </c>
      <c r="D126" s="77" t="s">
        <v>21</v>
      </c>
      <c r="E126" s="78">
        <v>50</v>
      </c>
      <c r="F126" s="62">
        <v>340765</v>
      </c>
      <c r="G126" s="81">
        <v>78</v>
      </c>
      <c r="H126" s="64">
        <v>627539.69999999995</v>
      </c>
      <c r="I126" s="61">
        <v>78</v>
      </c>
      <c r="J126" s="62">
        <v>627539.69999999995</v>
      </c>
      <c r="K126" s="74">
        <f t="shared" si="6"/>
        <v>0</v>
      </c>
      <c r="L126" s="49"/>
      <c r="M126" s="13"/>
      <c r="N126" s="17"/>
      <c r="O126" s="18"/>
      <c r="P126" s="19"/>
      <c r="Q126" s="19"/>
      <c r="R126" s="19"/>
      <c r="S126" s="9"/>
      <c r="T126" s="9"/>
      <c r="U126" s="9"/>
    </row>
    <row r="127" spans="1:21" ht="42" customHeight="1" x14ac:dyDescent="0.25">
      <c r="A127" s="242"/>
      <c r="B127" s="82" t="s">
        <v>189</v>
      </c>
      <c r="C127" s="76" t="s">
        <v>265</v>
      </c>
      <c r="D127" s="77" t="s">
        <v>21</v>
      </c>
      <c r="E127" s="78">
        <v>7</v>
      </c>
      <c r="F127" s="62">
        <v>47707.1</v>
      </c>
      <c r="G127" s="81">
        <v>3</v>
      </c>
      <c r="H127" s="62">
        <v>24136.14</v>
      </c>
      <c r="I127" s="61">
        <v>3</v>
      </c>
      <c r="J127" s="62">
        <v>24136.14</v>
      </c>
      <c r="K127" s="74">
        <f t="shared" si="6"/>
        <v>0</v>
      </c>
      <c r="L127" s="49"/>
      <c r="M127" s="13"/>
      <c r="N127" s="17"/>
      <c r="O127" s="18"/>
      <c r="P127" s="19"/>
      <c r="Q127" s="19"/>
      <c r="R127" s="19"/>
      <c r="S127" s="9"/>
      <c r="T127" s="9"/>
      <c r="U127" s="9"/>
    </row>
    <row r="128" spans="1:21" ht="40.5" customHeight="1" x14ac:dyDescent="0.25">
      <c r="A128" s="242"/>
      <c r="B128" s="82" t="s">
        <v>307</v>
      </c>
      <c r="C128" s="76" t="s">
        <v>308</v>
      </c>
      <c r="D128" s="77" t="s">
        <v>21</v>
      </c>
      <c r="E128" s="78">
        <v>0</v>
      </c>
      <c r="F128" s="62">
        <v>0</v>
      </c>
      <c r="G128" s="81">
        <v>10</v>
      </c>
      <c r="H128" s="62">
        <v>80453.81</v>
      </c>
      <c r="I128" s="61">
        <v>10</v>
      </c>
      <c r="J128" s="62">
        <v>80453.81</v>
      </c>
      <c r="K128" s="74">
        <f t="shared" si="6"/>
        <v>0</v>
      </c>
      <c r="L128" s="49"/>
      <c r="M128" s="13"/>
      <c r="N128" s="17"/>
      <c r="O128" s="18"/>
      <c r="P128" s="19"/>
      <c r="Q128" s="19"/>
      <c r="R128" s="19"/>
      <c r="S128" s="9"/>
      <c r="T128" s="9"/>
      <c r="U128" s="9"/>
    </row>
    <row r="129" spans="1:21" ht="42" customHeight="1" x14ac:dyDescent="0.25">
      <c r="A129" s="242"/>
      <c r="B129" s="82" t="s">
        <v>309</v>
      </c>
      <c r="C129" s="76" t="s">
        <v>310</v>
      </c>
      <c r="D129" s="77" t="s">
        <v>21</v>
      </c>
      <c r="E129" s="78">
        <v>0</v>
      </c>
      <c r="F129" s="62">
        <v>0</v>
      </c>
      <c r="G129" s="81">
        <v>12</v>
      </c>
      <c r="H129" s="62">
        <v>96542.57</v>
      </c>
      <c r="I129" s="61">
        <v>12</v>
      </c>
      <c r="J129" s="62">
        <v>96542.57</v>
      </c>
      <c r="K129" s="74">
        <f t="shared" si="6"/>
        <v>0</v>
      </c>
      <c r="L129" s="49"/>
      <c r="M129" s="13"/>
      <c r="N129" s="17"/>
      <c r="O129" s="18"/>
      <c r="P129" s="19"/>
      <c r="Q129" s="19"/>
      <c r="R129" s="19"/>
      <c r="S129" s="9"/>
      <c r="T129" s="9"/>
      <c r="U129" s="9"/>
    </row>
    <row r="130" spans="1:21" ht="44.25" customHeight="1" x14ac:dyDescent="0.25">
      <c r="A130" s="242"/>
      <c r="B130" s="82" t="s">
        <v>190</v>
      </c>
      <c r="C130" s="76" t="s">
        <v>266</v>
      </c>
      <c r="D130" s="77" t="s">
        <v>21</v>
      </c>
      <c r="E130" s="78">
        <v>18</v>
      </c>
      <c r="F130" s="62">
        <v>122675.40000000001</v>
      </c>
      <c r="G130" s="81">
        <v>12</v>
      </c>
      <c r="H130" s="64">
        <v>96544.57</v>
      </c>
      <c r="I130" s="61">
        <v>12</v>
      </c>
      <c r="J130" s="62">
        <v>96544.57</v>
      </c>
      <c r="K130" s="74">
        <f t="shared" si="6"/>
        <v>0</v>
      </c>
      <c r="L130" s="49"/>
      <c r="M130" s="13"/>
      <c r="N130" s="17"/>
      <c r="O130" s="18"/>
      <c r="P130" s="19"/>
      <c r="Q130" s="19"/>
      <c r="R130" s="19"/>
      <c r="S130" s="9"/>
      <c r="T130" s="9"/>
      <c r="U130" s="9"/>
    </row>
    <row r="131" spans="1:21" ht="42.75" customHeight="1" x14ac:dyDescent="0.25">
      <c r="A131" s="242"/>
      <c r="B131" s="82" t="s">
        <v>280</v>
      </c>
      <c r="C131" s="76" t="s">
        <v>267</v>
      </c>
      <c r="D131" s="77" t="s">
        <v>21</v>
      </c>
      <c r="E131" s="78">
        <v>2</v>
      </c>
      <c r="F131" s="62">
        <v>13630.6</v>
      </c>
      <c r="G131" s="81">
        <v>1</v>
      </c>
      <c r="H131" s="64">
        <v>8045.38</v>
      </c>
      <c r="I131" s="61">
        <v>1</v>
      </c>
      <c r="J131" s="62">
        <v>8045.38</v>
      </c>
      <c r="K131" s="74">
        <f t="shared" si="6"/>
        <v>0</v>
      </c>
      <c r="L131" s="49"/>
      <c r="M131" s="13"/>
      <c r="N131" s="17"/>
      <c r="O131" s="18"/>
      <c r="P131" s="19"/>
      <c r="Q131" s="19"/>
      <c r="R131" s="19"/>
      <c r="S131" s="9"/>
      <c r="T131" s="9"/>
      <c r="U131" s="9"/>
    </row>
    <row r="132" spans="1:21" ht="42.75" customHeight="1" x14ac:dyDescent="0.25">
      <c r="A132" s="242"/>
      <c r="B132" s="82" t="s">
        <v>311</v>
      </c>
      <c r="C132" s="76" t="s">
        <v>312</v>
      </c>
      <c r="D132" s="77" t="s">
        <v>21</v>
      </c>
      <c r="E132" s="78">
        <v>0</v>
      </c>
      <c r="F132" s="62">
        <v>0</v>
      </c>
      <c r="G132" s="81">
        <v>5</v>
      </c>
      <c r="H132" s="64">
        <v>40226.9</v>
      </c>
      <c r="I132" s="61">
        <v>5</v>
      </c>
      <c r="J132" s="62">
        <v>40226.9</v>
      </c>
      <c r="K132" s="74">
        <f t="shared" si="6"/>
        <v>0</v>
      </c>
      <c r="L132" s="49"/>
      <c r="M132" s="13"/>
      <c r="N132" s="17"/>
      <c r="O132" s="18"/>
      <c r="P132" s="19"/>
      <c r="Q132" s="19"/>
      <c r="R132" s="19"/>
      <c r="S132" s="9"/>
      <c r="T132" s="9"/>
      <c r="U132" s="9"/>
    </row>
    <row r="133" spans="1:21" ht="39" customHeight="1" x14ac:dyDescent="0.25">
      <c r="A133" s="242"/>
      <c r="B133" s="82" t="s">
        <v>191</v>
      </c>
      <c r="C133" s="76" t="s">
        <v>192</v>
      </c>
      <c r="D133" s="77" t="s">
        <v>21</v>
      </c>
      <c r="E133" s="78">
        <v>17</v>
      </c>
      <c r="F133" s="62">
        <v>115860.1</v>
      </c>
      <c r="G133" s="81">
        <v>22</v>
      </c>
      <c r="H133" s="64">
        <v>176998.38</v>
      </c>
      <c r="I133" s="61">
        <v>22</v>
      </c>
      <c r="J133" s="62">
        <v>176998.38</v>
      </c>
      <c r="K133" s="74">
        <f t="shared" si="6"/>
        <v>0</v>
      </c>
      <c r="L133" s="49"/>
      <c r="M133" s="13"/>
      <c r="N133" s="17"/>
      <c r="O133" s="18"/>
      <c r="P133" s="19"/>
      <c r="Q133" s="19"/>
      <c r="R133" s="19"/>
      <c r="S133" s="9"/>
      <c r="T133" s="9"/>
      <c r="U133" s="9"/>
    </row>
    <row r="134" spans="1:21" ht="51.75" customHeight="1" x14ac:dyDescent="0.25">
      <c r="A134" s="242"/>
      <c r="B134" s="75" t="s">
        <v>193</v>
      </c>
      <c r="C134" s="76" t="s">
        <v>268</v>
      </c>
      <c r="D134" s="77" t="s">
        <v>21</v>
      </c>
      <c r="E134" s="78">
        <v>2</v>
      </c>
      <c r="F134" s="62">
        <v>13630.6</v>
      </c>
      <c r="G134" s="81">
        <v>0</v>
      </c>
      <c r="H134" s="64">
        <v>0</v>
      </c>
      <c r="I134" s="61">
        <v>0</v>
      </c>
      <c r="J134" s="62">
        <v>0</v>
      </c>
      <c r="K134" s="74">
        <f t="shared" si="6"/>
        <v>0</v>
      </c>
      <c r="L134" s="49"/>
      <c r="M134" s="13"/>
      <c r="N134" s="17"/>
      <c r="O134" s="18"/>
      <c r="P134" s="19"/>
      <c r="Q134" s="19"/>
      <c r="R134" s="19"/>
      <c r="S134" s="9"/>
      <c r="T134" s="9"/>
      <c r="U134" s="9"/>
    </row>
    <row r="135" spans="1:21" ht="40.5" customHeight="1" x14ac:dyDescent="0.25">
      <c r="A135" s="242"/>
      <c r="B135" s="75" t="s">
        <v>194</v>
      </c>
      <c r="C135" s="76" t="s">
        <v>195</v>
      </c>
      <c r="D135" s="77" t="s">
        <v>21</v>
      </c>
      <c r="E135" s="78">
        <v>0</v>
      </c>
      <c r="F135" s="62">
        <v>0</v>
      </c>
      <c r="G135" s="81">
        <v>1</v>
      </c>
      <c r="H135" s="64">
        <v>8045.38</v>
      </c>
      <c r="I135" s="61">
        <v>1</v>
      </c>
      <c r="J135" s="62">
        <v>8045.38</v>
      </c>
      <c r="K135" s="74">
        <f t="shared" si="6"/>
        <v>0</v>
      </c>
      <c r="L135" s="49"/>
      <c r="M135" s="13"/>
      <c r="N135" s="17"/>
      <c r="O135" s="18"/>
      <c r="P135" s="19"/>
      <c r="Q135" s="19"/>
      <c r="R135" s="19"/>
      <c r="S135" s="9"/>
      <c r="T135" s="9"/>
      <c r="U135" s="9"/>
    </row>
    <row r="136" spans="1:21" ht="41.25" customHeight="1" x14ac:dyDescent="0.25">
      <c r="A136" s="242"/>
      <c r="B136" s="75" t="s">
        <v>196</v>
      </c>
      <c r="C136" s="76" t="s">
        <v>269</v>
      </c>
      <c r="D136" s="77" t="s">
        <v>21</v>
      </c>
      <c r="E136" s="78">
        <v>7</v>
      </c>
      <c r="F136" s="62">
        <v>47707.1</v>
      </c>
      <c r="G136" s="81">
        <v>2</v>
      </c>
      <c r="H136" s="64">
        <v>16090.76</v>
      </c>
      <c r="I136" s="61">
        <v>2</v>
      </c>
      <c r="J136" s="62">
        <v>16090.76</v>
      </c>
      <c r="K136" s="74">
        <f>G136-I136</f>
        <v>0</v>
      </c>
      <c r="L136" s="49"/>
      <c r="M136" s="13"/>
      <c r="N136" s="17"/>
      <c r="O136" s="18"/>
      <c r="P136" s="19"/>
      <c r="Q136" s="19"/>
      <c r="R136" s="19"/>
      <c r="S136" s="9"/>
      <c r="T136" s="9"/>
      <c r="U136" s="9"/>
    </row>
    <row r="137" spans="1:21" ht="39" customHeight="1" x14ac:dyDescent="0.25">
      <c r="A137" s="242"/>
      <c r="B137" s="75" t="s">
        <v>313</v>
      </c>
      <c r="C137" s="76" t="s">
        <v>314</v>
      </c>
      <c r="D137" s="77" t="s">
        <v>21</v>
      </c>
      <c r="E137" s="73">
        <v>0</v>
      </c>
      <c r="F137" s="62">
        <v>0</v>
      </c>
      <c r="G137" s="81">
        <v>1</v>
      </c>
      <c r="H137" s="64">
        <v>8045.38</v>
      </c>
      <c r="I137" s="61">
        <v>1</v>
      </c>
      <c r="J137" s="62">
        <v>8045.38</v>
      </c>
      <c r="K137" s="74">
        <f>G137-I137</f>
        <v>0</v>
      </c>
      <c r="L137" s="49"/>
      <c r="M137" s="13"/>
      <c r="N137" s="17"/>
      <c r="O137" s="18"/>
      <c r="P137" s="19"/>
      <c r="Q137" s="19"/>
      <c r="R137" s="19"/>
      <c r="S137" s="9"/>
      <c r="T137" s="9"/>
      <c r="U137" s="9"/>
    </row>
    <row r="138" spans="1:21" ht="39.75" customHeight="1" x14ac:dyDescent="0.25">
      <c r="A138" s="242"/>
      <c r="B138" s="83" t="s">
        <v>281</v>
      </c>
      <c r="C138" s="76" t="s">
        <v>270</v>
      </c>
      <c r="D138" s="77" t="s">
        <v>21</v>
      </c>
      <c r="E138" s="73">
        <v>4</v>
      </c>
      <c r="F138" s="62">
        <v>27261.200000000001</v>
      </c>
      <c r="G138" s="81">
        <v>1</v>
      </c>
      <c r="H138" s="64">
        <v>8045.38</v>
      </c>
      <c r="I138" s="61">
        <v>1</v>
      </c>
      <c r="J138" s="62">
        <v>8045.38</v>
      </c>
      <c r="K138" s="74">
        <f t="shared" ref="K138:K173" si="7">G138-I138</f>
        <v>0</v>
      </c>
      <c r="L138" s="49"/>
      <c r="M138" s="13"/>
      <c r="N138" s="17"/>
      <c r="O138" s="18"/>
      <c r="P138" s="19"/>
      <c r="Q138" s="19"/>
      <c r="R138" s="19"/>
      <c r="S138" s="9"/>
      <c r="T138" s="9"/>
      <c r="U138" s="9"/>
    </row>
    <row r="139" spans="1:21" ht="39.75" customHeight="1" x14ac:dyDescent="0.25">
      <c r="A139" s="242"/>
      <c r="B139" s="83" t="s">
        <v>315</v>
      </c>
      <c r="C139" s="84" t="s">
        <v>197</v>
      </c>
      <c r="D139" s="85" t="s">
        <v>21</v>
      </c>
      <c r="E139" s="86">
        <f>30+173</f>
        <v>203</v>
      </c>
      <c r="F139" s="62">
        <f>930020.1+1110818.3</f>
        <v>2040838.4</v>
      </c>
      <c r="G139" s="63">
        <f>31+69</f>
        <v>100</v>
      </c>
      <c r="H139" s="64">
        <f>2122340.6+555131.27</f>
        <v>2677471.87</v>
      </c>
      <c r="I139" s="61">
        <f>31+69</f>
        <v>100</v>
      </c>
      <c r="J139" s="62">
        <f>2122340.6+555131.27</f>
        <v>2677471.87</v>
      </c>
      <c r="K139" s="74">
        <f t="shared" si="7"/>
        <v>0</v>
      </c>
      <c r="L139" s="49"/>
      <c r="M139" s="13"/>
      <c r="N139" s="17"/>
      <c r="O139" s="18"/>
      <c r="P139" s="19"/>
      <c r="Q139" s="19"/>
      <c r="R139" s="19"/>
      <c r="S139" s="9"/>
      <c r="T139" s="9"/>
      <c r="U139" s="9"/>
    </row>
    <row r="140" spans="1:21" ht="42" customHeight="1" x14ac:dyDescent="0.25">
      <c r="A140" s="242"/>
      <c r="B140" s="83" t="s">
        <v>316</v>
      </c>
      <c r="C140" s="84" t="s">
        <v>198</v>
      </c>
      <c r="D140" s="85" t="s">
        <v>199</v>
      </c>
      <c r="E140" s="81">
        <f>44+59</f>
        <v>103</v>
      </c>
      <c r="F140" s="62">
        <f>8302263.5+402102.7</f>
        <v>8704366.1999999993</v>
      </c>
      <c r="G140" s="81">
        <f>20+71</f>
        <v>91</v>
      </c>
      <c r="H140" s="77">
        <f>3167425.72+571222.03</f>
        <v>3738647.75</v>
      </c>
      <c r="I140" s="61">
        <f>20+71</f>
        <v>91</v>
      </c>
      <c r="J140" s="62">
        <f>3167425.72+571222.03</f>
        <v>3738647.75</v>
      </c>
      <c r="K140" s="74">
        <f t="shared" si="7"/>
        <v>0</v>
      </c>
      <c r="L140" s="49"/>
      <c r="M140" s="13"/>
      <c r="N140" s="17"/>
      <c r="O140" s="18"/>
      <c r="P140" s="19"/>
      <c r="Q140" s="19"/>
      <c r="R140" s="19"/>
    </row>
    <row r="141" spans="1:21" ht="37.5" customHeight="1" x14ac:dyDescent="0.25">
      <c r="A141" s="242"/>
      <c r="B141" s="83" t="s">
        <v>317</v>
      </c>
      <c r="C141" s="84" t="s">
        <v>200</v>
      </c>
      <c r="D141" s="85" t="s">
        <v>199</v>
      </c>
      <c r="E141" s="81">
        <f>26+18</f>
        <v>44</v>
      </c>
      <c r="F141" s="62">
        <f>5801949.4+122675.4</f>
        <v>5924624.8000000007</v>
      </c>
      <c r="G141" s="81">
        <f>17+18</f>
        <v>35</v>
      </c>
      <c r="H141" s="77">
        <f>5354996.78+144816.85</f>
        <v>5499813.6299999999</v>
      </c>
      <c r="I141" s="61">
        <f>17+18</f>
        <v>35</v>
      </c>
      <c r="J141" s="62">
        <f>5354996.78+144816.85</f>
        <v>5499813.6299999999</v>
      </c>
      <c r="K141" s="74">
        <f t="shared" si="7"/>
        <v>0</v>
      </c>
      <c r="L141" s="49"/>
      <c r="M141" s="13"/>
      <c r="N141" s="17"/>
      <c r="O141" s="18"/>
      <c r="P141" s="19"/>
      <c r="Q141" s="19"/>
      <c r="R141" s="19"/>
    </row>
    <row r="142" spans="1:21" ht="42" customHeight="1" x14ac:dyDescent="0.25">
      <c r="A142" s="242"/>
      <c r="B142" s="83" t="s">
        <v>318</v>
      </c>
      <c r="C142" s="84" t="s">
        <v>201</v>
      </c>
      <c r="D142" s="85" t="s">
        <v>199</v>
      </c>
      <c r="E142" s="81">
        <f>24+24</f>
        <v>48</v>
      </c>
      <c r="F142" s="62">
        <f>8486146+163567.2</f>
        <v>8649713.1999999993</v>
      </c>
      <c r="G142" s="81">
        <f>21+31</f>
        <v>52</v>
      </c>
      <c r="H142" s="77">
        <f>6356489.01+249406.8</f>
        <v>6605895.8099999996</v>
      </c>
      <c r="I142" s="61">
        <f>21+31</f>
        <v>52</v>
      </c>
      <c r="J142" s="62">
        <f>6356489.01+249406.8</f>
        <v>6605895.8099999996</v>
      </c>
      <c r="K142" s="74">
        <f t="shared" si="7"/>
        <v>0</v>
      </c>
      <c r="L142" s="49"/>
      <c r="M142" s="13"/>
      <c r="N142" s="17"/>
      <c r="O142" s="18"/>
      <c r="P142" s="19"/>
      <c r="Q142" s="19"/>
      <c r="R142" s="19"/>
    </row>
    <row r="143" spans="1:21" ht="39.75" customHeight="1" x14ac:dyDescent="0.25">
      <c r="A143" s="242"/>
      <c r="B143" s="234" t="s">
        <v>319</v>
      </c>
      <c r="C143" s="232" t="s">
        <v>202</v>
      </c>
      <c r="D143" s="85" t="s">
        <v>320</v>
      </c>
      <c r="E143" s="81">
        <v>8</v>
      </c>
      <c r="F143" s="62">
        <v>0</v>
      </c>
      <c r="G143" s="81">
        <f>8+6</f>
        <v>14</v>
      </c>
      <c r="H143" s="77">
        <v>48272.28</v>
      </c>
      <c r="I143" s="61">
        <f>8+6</f>
        <v>14</v>
      </c>
      <c r="J143" s="62">
        <v>48272.28</v>
      </c>
      <c r="K143" s="74">
        <f t="shared" si="7"/>
        <v>0</v>
      </c>
      <c r="L143" s="49"/>
      <c r="M143" s="13"/>
      <c r="N143" s="17"/>
      <c r="O143" s="18"/>
      <c r="P143" s="19"/>
      <c r="Q143" s="19"/>
      <c r="R143" s="19"/>
    </row>
    <row r="144" spans="1:21" ht="42" customHeight="1" x14ac:dyDescent="0.25">
      <c r="A144" s="242"/>
      <c r="B144" s="235"/>
      <c r="C144" s="233"/>
      <c r="D144" s="77" t="s">
        <v>199</v>
      </c>
      <c r="E144" s="81">
        <v>8</v>
      </c>
      <c r="F144" s="62">
        <f>116165+34076.5</f>
        <v>150241.5</v>
      </c>
      <c r="G144" s="81">
        <v>9</v>
      </c>
      <c r="H144" s="77">
        <f>334935.63+48272.28</f>
        <v>383207.91000000003</v>
      </c>
      <c r="I144" s="61">
        <v>9</v>
      </c>
      <c r="J144" s="62">
        <f>334935.63+48272.28</f>
        <v>383207.91000000003</v>
      </c>
      <c r="K144" s="74">
        <f t="shared" si="7"/>
        <v>0</v>
      </c>
      <c r="L144" s="49"/>
      <c r="M144" s="13"/>
      <c r="N144" s="17"/>
      <c r="O144" s="18"/>
      <c r="P144" s="19"/>
      <c r="Q144" s="19"/>
      <c r="R144" s="19"/>
    </row>
    <row r="145" spans="1:21" ht="41.25" customHeight="1" x14ac:dyDescent="0.25">
      <c r="A145" s="242"/>
      <c r="B145" s="234" t="s">
        <v>321</v>
      </c>
      <c r="C145" s="230" t="s">
        <v>1</v>
      </c>
      <c r="D145" s="77" t="s">
        <v>203</v>
      </c>
      <c r="E145" s="81">
        <f>43+204</f>
        <v>247</v>
      </c>
      <c r="F145" s="62">
        <f>3487149.8+1390321.2</f>
        <v>4877471</v>
      </c>
      <c r="G145" s="81">
        <f>53+204</f>
        <v>257</v>
      </c>
      <c r="H145" s="77">
        <f>20233558.42+1641257.67</f>
        <v>21874816.090000004</v>
      </c>
      <c r="I145" s="61">
        <f>53+204</f>
        <v>257</v>
      </c>
      <c r="J145" s="62">
        <f>20233558.42+1641257.67</f>
        <v>21874816.090000004</v>
      </c>
      <c r="K145" s="74">
        <f t="shared" si="7"/>
        <v>0</v>
      </c>
      <c r="L145" s="49"/>
      <c r="M145" s="13"/>
      <c r="N145" s="17"/>
      <c r="O145" s="18"/>
      <c r="P145" s="19"/>
      <c r="Q145" s="19"/>
      <c r="R145" s="19"/>
    </row>
    <row r="146" spans="1:21" s="8" customFormat="1" ht="39.75" customHeight="1" x14ac:dyDescent="0.25">
      <c r="A146" s="242"/>
      <c r="B146" s="235"/>
      <c r="C146" s="231"/>
      <c r="D146" s="77" t="s">
        <v>204</v>
      </c>
      <c r="E146" s="81">
        <f>5160+24480</f>
        <v>29640</v>
      </c>
      <c r="F146" s="62">
        <v>166838544</v>
      </c>
      <c r="G146" s="81">
        <f>6360+24480</f>
        <v>30840</v>
      </c>
      <c r="H146" s="77">
        <v>196950920.06</v>
      </c>
      <c r="I146" s="61">
        <f>6360+24480</f>
        <v>30840</v>
      </c>
      <c r="J146" s="62">
        <f>195646860.14-18149.99</f>
        <v>195628710.14999998</v>
      </c>
      <c r="K146" s="74">
        <f t="shared" si="7"/>
        <v>0</v>
      </c>
      <c r="L146" s="49"/>
      <c r="M146" s="20">
        <f>M100-F100</f>
        <v>-31146399.999999881</v>
      </c>
      <c r="N146" s="20">
        <f>N100-H100</f>
        <v>-64378540.799999952</v>
      </c>
      <c r="O146" s="21">
        <f>O100-J100</f>
        <v>-61602256.579999924</v>
      </c>
      <c r="P146" s="22"/>
      <c r="Q146" s="22"/>
      <c r="R146" s="22"/>
      <c r="S146" s="22"/>
      <c r="T146" s="22"/>
      <c r="U146" s="22"/>
    </row>
    <row r="147" spans="1:21" s="8" customFormat="1" ht="45" customHeight="1" x14ac:dyDescent="0.25">
      <c r="A147" s="242"/>
      <c r="B147" s="75" t="s">
        <v>282</v>
      </c>
      <c r="C147" s="84" t="s">
        <v>205</v>
      </c>
      <c r="D147" s="77" t="s">
        <v>199</v>
      </c>
      <c r="E147" s="81">
        <f>9+12</f>
        <v>21</v>
      </c>
      <c r="F147" s="62">
        <f>3487449.9+81783.6</f>
        <v>3569233.5</v>
      </c>
      <c r="G147" s="81">
        <f>8+11</f>
        <v>19</v>
      </c>
      <c r="H147" s="77">
        <f>1980300.8+88499.19</f>
        <v>2068799.99</v>
      </c>
      <c r="I147" s="61">
        <f>8+11</f>
        <v>19</v>
      </c>
      <c r="J147" s="62">
        <f>1980300.8+88499.19</f>
        <v>2068799.99</v>
      </c>
      <c r="K147" s="74">
        <f t="shared" si="7"/>
        <v>0</v>
      </c>
      <c r="L147" s="49"/>
      <c r="M147" s="23"/>
      <c r="N147" s="23"/>
      <c r="O147" s="23"/>
      <c r="P147" s="22"/>
      <c r="Q147" s="22"/>
      <c r="R147" s="22"/>
      <c r="S147" s="22"/>
      <c r="T147" s="22"/>
      <c r="U147" s="22"/>
    </row>
    <row r="148" spans="1:21" s="8" customFormat="1" ht="46.5" customHeight="1" x14ac:dyDescent="0.25">
      <c r="A148" s="242"/>
      <c r="B148" s="75" t="s">
        <v>322</v>
      </c>
      <c r="C148" s="89" t="s">
        <v>206</v>
      </c>
      <c r="D148" s="77" t="s">
        <v>207</v>
      </c>
      <c r="E148" s="81">
        <v>36</v>
      </c>
      <c r="F148" s="62">
        <v>245350.80000000002</v>
      </c>
      <c r="G148" s="81">
        <v>41</v>
      </c>
      <c r="H148" s="64">
        <v>329860.61</v>
      </c>
      <c r="I148" s="61">
        <v>41</v>
      </c>
      <c r="J148" s="62">
        <v>329860.61</v>
      </c>
      <c r="K148" s="74">
        <f>G148-I148</f>
        <v>0</v>
      </c>
      <c r="L148" s="49"/>
      <c r="M148" s="23"/>
      <c r="N148" s="23"/>
      <c r="O148" s="23"/>
      <c r="P148" s="22"/>
      <c r="Q148" s="22"/>
      <c r="R148" s="22"/>
      <c r="S148" s="22"/>
      <c r="T148" s="22"/>
      <c r="U148" s="22"/>
    </row>
    <row r="149" spans="1:21" s="8" customFormat="1" ht="39" customHeight="1" x14ac:dyDescent="0.25">
      <c r="A149" s="242"/>
      <c r="B149" s="90" t="s">
        <v>323</v>
      </c>
      <c r="C149" s="89" t="s">
        <v>271</v>
      </c>
      <c r="D149" s="77" t="s">
        <v>199</v>
      </c>
      <c r="E149" s="81">
        <f>500+270</f>
        <v>770</v>
      </c>
      <c r="F149" s="62">
        <v>1908284</v>
      </c>
      <c r="G149" s="81">
        <f>500+270</f>
        <v>770</v>
      </c>
      <c r="H149" s="64">
        <v>2172252.79</v>
      </c>
      <c r="I149" s="61">
        <f>500+270</f>
        <v>770</v>
      </c>
      <c r="J149" s="62">
        <v>1737566.15</v>
      </c>
      <c r="K149" s="74">
        <f t="shared" si="7"/>
        <v>0</v>
      </c>
      <c r="L149" s="49"/>
      <c r="M149" s="23"/>
      <c r="N149" s="23"/>
      <c r="O149" s="23"/>
      <c r="P149" s="22"/>
      <c r="Q149" s="22"/>
      <c r="R149" s="22"/>
      <c r="S149" s="22"/>
      <c r="T149" s="22"/>
      <c r="U149" s="22"/>
    </row>
    <row r="150" spans="1:21" s="8" customFormat="1" ht="52.5" customHeight="1" x14ac:dyDescent="0.25">
      <c r="A150" s="242"/>
      <c r="B150" s="91" t="s">
        <v>221</v>
      </c>
      <c r="C150" s="92" t="s">
        <v>222</v>
      </c>
      <c r="D150" s="93" t="s">
        <v>21</v>
      </c>
      <c r="E150" s="94">
        <v>34</v>
      </c>
      <c r="F150" s="93">
        <v>5192875</v>
      </c>
      <c r="G150" s="94">
        <v>20</v>
      </c>
      <c r="H150" s="93">
        <v>2268892.91</v>
      </c>
      <c r="I150" s="94">
        <v>20</v>
      </c>
      <c r="J150" s="93">
        <f>H150</f>
        <v>2268892.91</v>
      </c>
      <c r="K150" s="95">
        <f t="shared" si="7"/>
        <v>0</v>
      </c>
      <c r="L150" s="96"/>
      <c r="M150" s="23"/>
      <c r="N150" s="23"/>
      <c r="O150" s="23"/>
      <c r="P150" s="22"/>
      <c r="Q150" s="22"/>
      <c r="R150" s="22"/>
      <c r="S150" s="22"/>
      <c r="T150" s="22"/>
      <c r="U150" s="22"/>
    </row>
    <row r="151" spans="1:21" s="8" customFormat="1" ht="53.25" customHeight="1" x14ac:dyDescent="0.25">
      <c r="A151" s="242"/>
      <c r="B151" s="91" t="s">
        <v>223</v>
      </c>
      <c r="C151" s="92" t="s">
        <v>272</v>
      </c>
      <c r="D151" s="93" t="s">
        <v>21</v>
      </c>
      <c r="E151" s="94">
        <v>21</v>
      </c>
      <c r="F151" s="93">
        <v>2441165</v>
      </c>
      <c r="G151" s="94">
        <v>18</v>
      </c>
      <c r="H151" s="93">
        <v>2035829.28</v>
      </c>
      <c r="I151" s="94">
        <f>G151</f>
        <v>18</v>
      </c>
      <c r="J151" s="93">
        <f t="shared" ref="J151:J173" si="8">H151</f>
        <v>2035829.28</v>
      </c>
      <c r="K151" s="95">
        <f t="shared" si="7"/>
        <v>0</v>
      </c>
      <c r="L151" s="96"/>
      <c r="M151" s="23"/>
      <c r="N151" s="23"/>
      <c r="O151" s="23"/>
      <c r="P151" s="22"/>
      <c r="Q151" s="22"/>
      <c r="R151" s="22"/>
      <c r="S151" s="22"/>
      <c r="T151" s="22"/>
      <c r="U151" s="22"/>
    </row>
    <row r="152" spans="1:21" s="8" customFormat="1" ht="52.5" customHeight="1" x14ac:dyDescent="0.25">
      <c r="A152" s="242"/>
      <c r="B152" s="91" t="s">
        <v>224</v>
      </c>
      <c r="C152" s="97" t="s">
        <v>225</v>
      </c>
      <c r="D152" s="93" t="s">
        <v>21</v>
      </c>
      <c r="E152" s="94">
        <v>49</v>
      </c>
      <c r="F152" s="93">
        <v>8253613.9000000004</v>
      </c>
      <c r="G152" s="94">
        <v>19</v>
      </c>
      <c r="H152" s="93">
        <v>2714660.34</v>
      </c>
      <c r="I152" s="94">
        <f>G152</f>
        <v>19</v>
      </c>
      <c r="J152" s="93">
        <v>2694660.34</v>
      </c>
      <c r="K152" s="95">
        <f t="shared" si="7"/>
        <v>0</v>
      </c>
      <c r="L152" s="96"/>
      <c r="M152" s="23"/>
      <c r="N152" s="23"/>
      <c r="O152" s="23"/>
      <c r="P152" s="22"/>
      <c r="Q152" s="22"/>
      <c r="R152" s="22"/>
      <c r="S152" s="22"/>
      <c r="T152" s="22"/>
      <c r="U152" s="22"/>
    </row>
    <row r="153" spans="1:21" s="8" customFormat="1" ht="25.5" x14ac:dyDescent="0.25">
      <c r="A153" s="242"/>
      <c r="B153" s="91" t="s">
        <v>226</v>
      </c>
      <c r="C153" s="92" t="s">
        <v>273</v>
      </c>
      <c r="D153" s="93" t="s">
        <v>21</v>
      </c>
      <c r="E153" s="94">
        <v>53</v>
      </c>
      <c r="F153" s="93">
        <v>11625099.5</v>
      </c>
      <c r="G153" s="94">
        <v>69</v>
      </c>
      <c r="H153" s="93">
        <v>11509878.32</v>
      </c>
      <c r="I153" s="94">
        <f>G153</f>
        <v>69</v>
      </c>
      <c r="J153" s="93">
        <f t="shared" si="8"/>
        <v>11509878.32</v>
      </c>
      <c r="K153" s="95">
        <f t="shared" si="7"/>
        <v>0</v>
      </c>
      <c r="L153" s="96"/>
      <c r="M153" s="23"/>
      <c r="N153" s="23"/>
      <c r="O153" s="23"/>
      <c r="P153" s="22"/>
      <c r="Q153" s="22"/>
      <c r="R153" s="22"/>
      <c r="S153" s="22"/>
      <c r="T153" s="22"/>
      <c r="U153" s="22"/>
    </row>
    <row r="154" spans="1:21" s="8" customFormat="1" ht="43.5" customHeight="1" x14ac:dyDescent="0.25">
      <c r="A154" s="242"/>
      <c r="B154" s="91" t="s">
        <v>162</v>
      </c>
      <c r="C154" s="92" t="s">
        <v>227</v>
      </c>
      <c r="D154" s="93" t="s">
        <v>21</v>
      </c>
      <c r="E154" s="94">
        <v>22</v>
      </c>
      <c r="F154" s="93">
        <v>3603714.4</v>
      </c>
      <c r="G154" s="94">
        <v>18</v>
      </c>
      <c r="H154" s="93">
        <v>2208090.7799999998</v>
      </c>
      <c r="I154" s="94">
        <v>18</v>
      </c>
      <c r="J154" s="93">
        <f t="shared" si="8"/>
        <v>2208090.7799999998</v>
      </c>
      <c r="K154" s="95">
        <f t="shared" si="7"/>
        <v>0</v>
      </c>
      <c r="L154" s="96"/>
      <c r="M154" s="23"/>
      <c r="N154" s="20"/>
      <c r="O154" s="23"/>
      <c r="P154" s="22"/>
      <c r="Q154" s="22"/>
      <c r="R154" s="22"/>
      <c r="S154" s="22"/>
      <c r="T154" s="22"/>
      <c r="U154" s="22"/>
    </row>
    <row r="155" spans="1:21" s="8" customFormat="1" ht="25.5" x14ac:dyDescent="0.25">
      <c r="A155" s="242"/>
      <c r="B155" s="91" t="s">
        <v>168</v>
      </c>
      <c r="C155" s="92" t="s">
        <v>274</v>
      </c>
      <c r="D155" s="93" t="s">
        <v>21</v>
      </c>
      <c r="E155" s="94">
        <v>34</v>
      </c>
      <c r="F155" s="93">
        <v>3836145.2</v>
      </c>
      <c r="G155" s="94">
        <v>25</v>
      </c>
      <c r="H155" s="93">
        <v>2667296.5299999998</v>
      </c>
      <c r="I155" s="94">
        <f>G155</f>
        <v>25</v>
      </c>
      <c r="J155" s="93">
        <v>2167296.5299999998</v>
      </c>
      <c r="K155" s="95">
        <f t="shared" si="7"/>
        <v>0</v>
      </c>
      <c r="L155" s="96"/>
      <c r="M155" s="23"/>
      <c r="N155" s="20"/>
      <c r="O155" s="23"/>
      <c r="P155" s="22"/>
      <c r="Q155" s="22"/>
      <c r="R155" s="22"/>
      <c r="S155" s="22"/>
      <c r="T155" s="22"/>
      <c r="U155" s="22"/>
    </row>
    <row r="156" spans="1:21" s="8" customFormat="1" ht="25.5" x14ac:dyDescent="0.25">
      <c r="A156" s="242"/>
      <c r="B156" s="91" t="s">
        <v>228</v>
      </c>
      <c r="C156" s="97" t="s">
        <v>229</v>
      </c>
      <c r="D156" s="93" t="s">
        <v>21</v>
      </c>
      <c r="E156" s="94">
        <v>11</v>
      </c>
      <c r="F156" s="93">
        <v>1743674.9</v>
      </c>
      <c r="G156" s="94">
        <v>18</v>
      </c>
      <c r="H156" s="93">
        <v>2678879.7000000002</v>
      </c>
      <c r="I156" s="94">
        <v>18</v>
      </c>
      <c r="J156" s="93">
        <v>2394981.4</v>
      </c>
      <c r="K156" s="95">
        <f t="shared" si="7"/>
        <v>0</v>
      </c>
      <c r="L156" s="96"/>
      <c r="M156" s="23"/>
      <c r="N156" s="20"/>
      <c r="O156" s="23"/>
      <c r="P156" s="22"/>
      <c r="Q156" s="22"/>
      <c r="R156" s="22"/>
      <c r="S156" s="22"/>
      <c r="T156" s="22"/>
      <c r="U156" s="22"/>
    </row>
    <row r="157" spans="1:21" s="8" customFormat="1" ht="25.5" x14ac:dyDescent="0.25">
      <c r="A157" s="242"/>
      <c r="B157" s="91" t="s">
        <v>230</v>
      </c>
      <c r="C157" s="92" t="s">
        <v>275</v>
      </c>
      <c r="D157" s="93" t="s">
        <v>21</v>
      </c>
      <c r="E157" s="94">
        <v>8</v>
      </c>
      <c r="F157" s="93">
        <v>1162550.3999999999</v>
      </c>
      <c r="G157" s="94">
        <v>5</v>
      </c>
      <c r="H157" s="93">
        <v>695459.32</v>
      </c>
      <c r="I157" s="94">
        <v>5</v>
      </c>
      <c r="J157" s="93">
        <f t="shared" si="8"/>
        <v>695459.32</v>
      </c>
      <c r="K157" s="95">
        <f t="shared" si="7"/>
        <v>0</v>
      </c>
      <c r="L157" s="96"/>
      <c r="M157" s="23"/>
      <c r="N157" s="20"/>
      <c r="O157" s="23"/>
      <c r="P157" s="22"/>
      <c r="Q157" s="22"/>
      <c r="R157" s="22"/>
      <c r="S157" s="22"/>
      <c r="T157" s="22"/>
      <c r="U157" s="22"/>
    </row>
    <row r="158" spans="1:21" s="8" customFormat="1" ht="25.5" x14ac:dyDescent="0.25">
      <c r="A158" s="242"/>
      <c r="B158" s="91" t="s">
        <v>231</v>
      </c>
      <c r="C158" s="92" t="s">
        <v>232</v>
      </c>
      <c r="D158" s="93" t="s">
        <v>21</v>
      </c>
      <c r="E158" s="94">
        <v>36</v>
      </c>
      <c r="F158" s="93">
        <v>3487550</v>
      </c>
      <c r="G158" s="94">
        <v>35</v>
      </c>
      <c r="H158" s="93">
        <v>3905519.6</v>
      </c>
      <c r="I158" s="94">
        <v>35</v>
      </c>
      <c r="J158" s="93">
        <f t="shared" si="8"/>
        <v>3905519.6</v>
      </c>
      <c r="K158" s="95">
        <f t="shared" si="7"/>
        <v>0</v>
      </c>
      <c r="L158" s="96"/>
      <c r="M158" s="23"/>
      <c r="N158" s="20"/>
      <c r="O158" s="23"/>
      <c r="P158" s="22"/>
      <c r="Q158" s="22"/>
      <c r="R158" s="22"/>
      <c r="S158" s="22"/>
      <c r="T158" s="22"/>
      <c r="U158" s="22"/>
    </row>
    <row r="159" spans="1:21" s="8" customFormat="1" ht="25.5" x14ac:dyDescent="0.25">
      <c r="A159" s="242"/>
      <c r="B159" s="91" t="s">
        <v>283</v>
      </c>
      <c r="C159" s="92" t="s">
        <v>276</v>
      </c>
      <c r="D159" s="93" t="s">
        <v>21</v>
      </c>
      <c r="E159" s="94">
        <v>7</v>
      </c>
      <c r="F159" s="93">
        <v>2092769.7</v>
      </c>
      <c r="G159" s="94">
        <v>9</v>
      </c>
      <c r="H159" s="93">
        <v>2300425.81</v>
      </c>
      <c r="I159" s="94">
        <v>9</v>
      </c>
      <c r="J159" s="93">
        <v>2121425.81</v>
      </c>
      <c r="K159" s="95">
        <f t="shared" si="7"/>
        <v>0</v>
      </c>
      <c r="L159" s="96"/>
      <c r="M159" s="23"/>
      <c r="N159" s="20"/>
      <c r="O159" s="23"/>
      <c r="P159" s="22"/>
      <c r="Q159" s="22"/>
      <c r="R159" s="22"/>
      <c r="S159" s="22"/>
      <c r="T159" s="22"/>
      <c r="U159" s="22"/>
    </row>
    <row r="160" spans="1:21" s="8" customFormat="1" ht="25.5" x14ac:dyDescent="0.25">
      <c r="A160" s="242"/>
      <c r="B160" s="91" t="s">
        <v>233</v>
      </c>
      <c r="C160" s="92" t="s">
        <v>234</v>
      </c>
      <c r="D160" s="93" t="s">
        <v>21</v>
      </c>
      <c r="E160" s="94">
        <v>40</v>
      </c>
      <c r="F160" s="93">
        <v>4533636</v>
      </c>
      <c r="G160" s="94">
        <v>76</v>
      </c>
      <c r="H160" s="93">
        <v>7152512.5499999998</v>
      </c>
      <c r="I160" s="94">
        <v>76</v>
      </c>
      <c r="J160" s="93">
        <f t="shared" si="8"/>
        <v>7152512.5499999998</v>
      </c>
      <c r="K160" s="95">
        <f t="shared" si="7"/>
        <v>0</v>
      </c>
      <c r="L160" s="96"/>
      <c r="M160" s="23"/>
      <c r="N160" s="20"/>
      <c r="O160" s="23"/>
      <c r="P160" s="22"/>
      <c r="Q160" s="22"/>
      <c r="R160" s="22"/>
      <c r="S160" s="22"/>
      <c r="T160" s="22"/>
      <c r="U160" s="22"/>
    </row>
    <row r="161" spans="1:21" s="8" customFormat="1" ht="25.5" x14ac:dyDescent="0.25">
      <c r="A161" s="242"/>
      <c r="B161" s="91" t="s">
        <v>284</v>
      </c>
      <c r="C161" s="92" t="s">
        <v>234</v>
      </c>
      <c r="D161" s="93" t="s">
        <v>21</v>
      </c>
      <c r="E161" s="94">
        <v>26</v>
      </c>
      <c r="F161" s="93">
        <v>3487450.2</v>
      </c>
      <c r="G161" s="94">
        <v>22</v>
      </c>
      <c r="H161" s="93">
        <v>2175924.5099999998</v>
      </c>
      <c r="I161" s="94">
        <v>22</v>
      </c>
      <c r="J161" s="93">
        <f t="shared" si="8"/>
        <v>2175924.5099999998</v>
      </c>
      <c r="K161" s="95">
        <f t="shared" si="7"/>
        <v>0</v>
      </c>
      <c r="L161" s="96"/>
      <c r="M161" s="23"/>
      <c r="N161" s="20"/>
      <c r="O161" s="23"/>
      <c r="P161" s="22"/>
      <c r="Q161" s="22"/>
      <c r="R161" s="22"/>
      <c r="S161" s="22"/>
      <c r="T161" s="22"/>
      <c r="U161" s="22"/>
    </row>
    <row r="162" spans="1:21" s="8" customFormat="1" ht="27" customHeight="1" x14ac:dyDescent="0.25">
      <c r="A162" s="242"/>
      <c r="B162" s="98" t="s">
        <v>235</v>
      </c>
      <c r="C162" s="99" t="s">
        <v>236</v>
      </c>
      <c r="D162" s="93" t="s">
        <v>21</v>
      </c>
      <c r="E162" s="94">
        <v>25</v>
      </c>
      <c r="F162" s="93">
        <v>4766165</v>
      </c>
      <c r="G162" s="94">
        <v>21</v>
      </c>
      <c r="H162" s="93">
        <v>3270379.78</v>
      </c>
      <c r="I162" s="94">
        <v>21</v>
      </c>
      <c r="J162" s="93">
        <f t="shared" si="8"/>
        <v>3270379.78</v>
      </c>
      <c r="K162" s="95">
        <f t="shared" si="7"/>
        <v>0</v>
      </c>
      <c r="L162" s="96"/>
      <c r="M162" s="23"/>
      <c r="N162" s="20"/>
      <c r="O162" s="23"/>
      <c r="P162" s="22"/>
      <c r="Q162" s="22"/>
      <c r="R162" s="22"/>
      <c r="S162" s="22"/>
      <c r="T162" s="22"/>
      <c r="U162" s="22"/>
    </row>
    <row r="163" spans="1:21" s="8" customFormat="1" ht="35.25" customHeight="1" x14ac:dyDescent="0.25">
      <c r="A163" s="242"/>
      <c r="B163" s="91" t="s">
        <v>237</v>
      </c>
      <c r="C163" s="99" t="s">
        <v>277</v>
      </c>
      <c r="D163" s="93" t="s">
        <v>21</v>
      </c>
      <c r="E163" s="94">
        <v>31</v>
      </c>
      <c r="F163" s="93">
        <v>4998694.2</v>
      </c>
      <c r="G163" s="94">
        <v>36</v>
      </c>
      <c r="H163" s="93">
        <v>5898536.6299999999</v>
      </c>
      <c r="I163" s="94">
        <v>36</v>
      </c>
      <c r="J163" s="93">
        <v>5498536.6299999999</v>
      </c>
      <c r="K163" s="95">
        <f t="shared" si="7"/>
        <v>0</v>
      </c>
      <c r="L163" s="96"/>
      <c r="M163" s="23"/>
      <c r="N163" s="20"/>
      <c r="O163" s="23"/>
      <c r="P163" s="22"/>
      <c r="Q163" s="22"/>
      <c r="R163" s="22"/>
      <c r="S163" s="22"/>
      <c r="T163" s="22"/>
      <c r="U163" s="22"/>
    </row>
    <row r="164" spans="1:21" s="8" customFormat="1" ht="29.25" customHeight="1" x14ac:dyDescent="0.25">
      <c r="A164" s="242"/>
      <c r="B164" s="91" t="s">
        <v>238</v>
      </c>
      <c r="C164" s="92" t="s">
        <v>239</v>
      </c>
      <c r="D164" s="93" t="s">
        <v>21</v>
      </c>
      <c r="E164" s="94">
        <v>1</v>
      </c>
      <c r="F164" s="93">
        <v>581025</v>
      </c>
      <c r="G164" s="94">
        <v>3</v>
      </c>
      <c r="H164" s="93">
        <v>1687169.73</v>
      </c>
      <c r="I164" s="94">
        <v>3</v>
      </c>
      <c r="J164" s="93">
        <f t="shared" si="8"/>
        <v>1687169.73</v>
      </c>
      <c r="K164" s="95">
        <f t="shared" si="7"/>
        <v>0</v>
      </c>
      <c r="L164" s="96"/>
      <c r="M164" s="23"/>
      <c r="N164" s="20"/>
      <c r="O164" s="23"/>
      <c r="P164" s="22"/>
      <c r="Q164" s="22"/>
      <c r="R164" s="22"/>
      <c r="S164" s="22"/>
      <c r="T164" s="22"/>
      <c r="U164" s="22"/>
    </row>
    <row r="165" spans="1:21" s="8" customFormat="1" ht="32.25" customHeight="1" x14ac:dyDescent="0.25">
      <c r="A165" s="242"/>
      <c r="B165" s="91" t="s">
        <v>240</v>
      </c>
      <c r="C165" s="99" t="s">
        <v>241</v>
      </c>
      <c r="D165" s="93" t="s">
        <v>21</v>
      </c>
      <c r="E165" s="94">
        <v>0</v>
      </c>
      <c r="F165" s="93">
        <v>0</v>
      </c>
      <c r="G165" s="94">
        <v>0</v>
      </c>
      <c r="H165" s="93">
        <v>0</v>
      </c>
      <c r="I165" s="94">
        <v>0</v>
      </c>
      <c r="J165" s="93">
        <f t="shared" si="8"/>
        <v>0</v>
      </c>
      <c r="K165" s="95">
        <f t="shared" si="7"/>
        <v>0</v>
      </c>
      <c r="L165" s="96"/>
      <c r="M165" s="23"/>
      <c r="N165" s="20"/>
      <c r="O165" s="23"/>
      <c r="P165" s="22"/>
      <c r="Q165" s="22"/>
      <c r="R165" s="22"/>
      <c r="S165" s="22"/>
      <c r="T165" s="22"/>
      <c r="U165" s="22"/>
    </row>
    <row r="166" spans="1:21" s="8" customFormat="1" ht="27.75" customHeight="1" x14ac:dyDescent="0.25">
      <c r="A166" s="242"/>
      <c r="B166" s="91" t="s">
        <v>242</v>
      </c>
      <c r="C166" s="97" t="s">
        <v>243</v>
      </c>
      <c r="D166" s="93" t="s">
        <v>21</v>
      </c>
      <c r="E166" s="94">
        <v>3</v>
      </c>
      <c r="F166" s="93">
        <v>2324958</v>
      </c>
      <c r="G166" s="94">
        <v>0</v>
      </c>
      <c r="H166" s="93">
        <v>0</v>
      </c>
      <c r="I166" s="94">
        <v>0</v>
      </c>
      <c r="J166" s="93">
        <f t="shared" si="8"/>
        <v>0</v>
      </c>
      <c r="K166" s="95">
        <f t="shared" si="7"/>
        <v>0</v>
      </c>
      <c r="L166" s="96"/>
      <c r="M166" s="23"/>
      <c r="N166" s="20"/>
      <c r="O166" s="23"/>
      <c r="P166" s="22"/>
      <c r="Q166" s="22"/>
      <c r="R166" s="22"/>
      <c r="S166" s="22"/>
      <c r="T166" s="22"/>
      <c r="U166" s="22"/>
    </row>
    <row r="167" spans="1:21" s="8" customFormat="1" ht="28.5" customHeight="1" x14ac:dyDescent="0.25">
      <c r="A167" s="242"/>
      <c r="B167" s="91" t="s">
        <v>244</v>
      </c>
      <c r="C167" s="92" t="s">
        <v>245</v>
      </c>
      <c r="D167" s="93" t="s">
        <v>21</v>
      </c>
      <c r="E167" s="94">
        <v>3</v>
      </c>
      <c r="F167" s="93">
        <v>1976804.4</v>
      </c>
      <c r="G167" s="94">
        <v>8</v>
      </c>
      <c r="H167" s="93">
        <v>4849325.38</v>
      </c>
      <c r="I167" s="94">
        <v>8</v>
      </c>
      <c r="J167" s="93">
        <f t="shared" si="8"/>
        <v>4849325.38</v>
      </c>
      <c r="K167" s="95">
        <f t="shared" si="7"/>
        <v>0</v>
      </c>
      <c r="L167" s="96"/>
      <c r="M167" s="23"/>
      <c r="N167" s="20"/>
      <c r="O167" s="23"/>
      <c r="P167" s="22"/>
      <c r="Q167" s="22"/>
      <c r="R167" s="22"/>
      <c r="S167" s="22"/>
      <c r="T167" s="22"/>
      <c r="U167" s="22"/>
    </row>
    <row r="168" spans="1:21" s="8" customFormat="1" ht="29.25" customHeight="1" x14ac:dyDescent="0.25">
      <c r="A168" s="242"/>
      <c r="B168" s="91" t="s">
        <v>177</v>
      </c>
      <c r="C168" s="99" t="s">
        <v>246</v>
      </c>
      <c r="D168" s="93" t="s">
        <v>21</v>
      </c>
      <c r="E168" s="94">
        <v>5</v>
      </c>
      <c r="F168" s="93">
        <v>1627509.9</v>
      </c>
      <c r="G168" s="94">
        <v>0</v>
      </c>
      <c r="H168" s="93">
        <v>0</v>
      </c>
      <c r="I168" s="94">
        <v>0</v>
      </c>
      <c r="J168" s="93">
        <f t="shared" si="8"/>
        <v>0</v>
      </c>
      <c r="K168" s="95">
        <f t="shared" si="7"/>
        <v>0</v>
      </c>
      <c r="L168" s="96"/>
      <c r="M168" s="23"/>
      <c r="N168" s="20"/>
      <c r="O168" s="23"/>
      <c r="P168" s="22"/>
      <c r="Q168" s="22"/>
      <c r="R168" s="22"/>
      <c r="S168" s="22"/>
      <c r="T168" s="22"/>
      <c r="U168" s="22"/>
    </row>
    <row r="169" spans="1:21" s="8" customFormat="1" ht="32.25" customHeight="1" x14ac:dyDescent="0.25">
      <c r="A169" s="242"/>
      <c r="B169" s="83" t="s">
        <v>220</v>
      </c>
      <c r="C169" s="100" t="s">
        <v>247</v>
      </c>
      <c r="D169" s="101" t="s">
        <v>20</v>
      </c>
      <c r="E169" s="102">
        <v>16</v>
      </c>
      <c r="F169" s="103">
        <v>5812350</v>
      </c>
      <c r="G169" s="104">
        <v>12</v>
      </c>
      <c r="H169" s="103">
        <v>5261611.96</v>
      </c>
      <c r="I169" s="104">
        <v>12</v>
      </c>
      <c r="J169" s="93">
        <f t="shared" si="8"/>
        <v>5261611.96</v>
      </c>
      <c r="K169" s="95">
        <f t="shared" si="7"/>
        <v>0</v>
      </c>
      <c r="L169" s="96"/>
      <c r="M169" s="23"/>
      <c r="N169" s="20"/>
      <c r="O169" s="23"/>
      <c r="P169" s="22"/>
      <c r="Q169" s="22"/>
      <c r="R169" s="22"/>
      <c r="S169" s="22"/>
      <c r="T169" s="22"/>
      <c r="U169" s="22"/>
    </row>
    <row r="170" spans="1:21" s="8" customFormat="1" ht="32.25" customHeight="1" x14ac:dyDescent="0.25">
      <c r="A170" s="242"/>
      <c r="B170" s="105" t="s">
        <v>212</v>
      </c>
      <c r="C170" s="106" t="s">
        <v>213</v>
      </c>
      <c r="D170" s="101" t="s">
        <v>20</v>
      </c>
      <c r="E170" s="107">
        <v>15</v>
      </c>
      <c r="F170" s="103">
        <v>2906224.2</v>
      </c>
      <c r="G170" s="94">
        <v>14</v>
      </c>
      <c r="H170" s="103">
        <v>9041547.6699999999</v>
      </c>
      <c r="I170" s="104">
        <v>14</v>
      </c>
      <c r="J170" s="93">
        <f t="shared" si="8"/>
        <v>9041547.6699999999</v>
      </c>
      <c r="K170" s="95">
        <f t="shared" si="7"/>
        <v>0</v>
      </c>
      <c r="L170" s="108"/>
      <c r="M170" s="23"/>
      <c r="N170" s="20"/>
      <c r="O170" s="23"/>
      <c r="P170" s="22"/>
      <c r="Q170" s="22"/>
      <c r="R170" s="22"/>
      <c r="S170" s="22"/>
      <c r="T170" s="22"/>
      <c r="U170" s="22"/>
    </row>
    <row r="171" spans="1:21" s="8" customFormat="1" ht="43.5" customHeight="1" x14ac:dyDescent="0.25">
      <c r="A171" s="242"/>
      <c r="B171" s="83" t="s">
        <v>214</v>
      </c>
      <c r="C171" s="106" t="s">
        <v>215</v>
      </c>
      <c r="D171" s="101" t="s">
        <v>20</v>
      </c>
      <c r="E171" s="109">
        <v>4</v>
      </c>
      <c r="F171" s="103">
        <v>1511247</v>
      </c>
      <c r="G171" s="110">
        <v>4</v>
      </c>
      <c r="H171" s="103">
        <v>6774162.5700000003</v>
      </c>
      <c r="I171" s="104">
        <v>4</v>
      </c>
      <c r="J171" s="93">
        <f t="shared" si="8"/>
        <v>6774162.5700000003</v>
      </c>
      <c r="K171" s="95">
        <f t="shared" si="7"/>
        <v>0</v>
      </c>
      <c r="L171" s="108"/>
      <c r="M171" s="23"/>
      <c r="N171" s="20"/>
      <c r="O171" s="23"/>
      <c r="P171" s="22"/>
      <c r="Q171" s="22"/>
      <c r="R171" s="22"/>
      <c r="S171" s="22"/>
      <c r="T171" s="22"/>
      <c r="U171" s="22"/>
    </row>
    <row r="172" spans="1:21" s="8" customFormat="1" ht="51" x14ac:dyDescent="0.25">
      <c r="A172" s="242"/>
      <c r="B172" s="83" t="s">
        <v>216</v>
      </c>
      <c r="C172" s="106" t="s">
        <v>217</v>
      </c>
      <c r="D172" s="101" t="s">
        <v>20</v>
      </c>
      <c r="E172" s="109">
        <v>3</v>
      </c>
      <c r="F172" s="103">
        <v>4068675.2</v>
      </c>
      <c r="G172" s="111">
        <v>3</v>
      </c>
      <c r="H172" s="103">
        <v>4447720.58</v>
      </c>
      <c r="I172" s="104">
        <v>3</v>
      </c>
      <c r="J172" s="93">
        <f t="shared" si="8"/>
        <v>4447720.58</v>
      </c>
      <c r="K172" s="95">
        <f t="shared" si="7"/>
        <v>0</v>
      </c>
      <c r="L172" s="96"/>
      <c r="M172" s="23"/>
      <c r="N172" s="20"/>
      <c r="O172" s="23"/>
      <c r="P172" s="22"/>
      <c r="Q172" s="22"/>
      <c r="R172" s="22"/>
      <c r="S172" s="22"/>
      <c r="T172" s="22"/>
      <c r="U172" s="22"/>
    </row>
    <row r="173" spans="1:21" s="8" customFormat="1" ht="42" customHeight="1" x14ac:dyDescent="0.25">
      <c r="A173" s="242"/>
      <c r="B173" s="112" t="s">
        <v>218</v>
      </c>
      <c r="C173" s="106" t="s">
        <v>219</v>
      </c>
      <c r="D173" s="101" t="s">
        <v>20</v>
      </c>
      <c r="E173" s="107">
        <v>19</v>
      </c>
      <c r="F173" s="103">
        <v>3603917.2</v>
      </c>
      <c r="G173" s="102">
        <v>19</v>
      </c>
      <c r="H173" s="103">
        <v>10668787.24</v>
      </c>
      <c r="I173" s="104">
        <v>19</v>
      </c>
      <c r="J173" s="93">
        <f t="shared" si="8"/>
        <v>10668787.24</v>
      </c>
      <c r="K173" s="95">
        <f t="shared" si="7"/>
        <v>0</v>
      </c>
      <c r="L173" s="96"/>
      <c r="M173" s="23"/>
      <c r="N173" s="20"/>
      <c r="O173" s="23"/>
      <c r="P173" s="22"/>
      <c r="Q173" s="22"/>
      <c r="R173" s="22"/>
      <c r="S173" s="22"/>
      <c r="T173" s="22"/>
      <c r="U173" s="22"/>
    </row>
    <row r="174" spans="1:21" s="8" customFormat="1" ht="25.5" customHeight="1" thickBot="1" x14ac:dyDescent="0.3">
      <c r="A174" s="242"/>
      <c r="B174" s="113"/>
      <c r="C174" s="114" t="s">
        <v>135</v>
      </c>
      <c r="D174" s="115" t="s">
        <v>37</v>
      </c>
      <c r="E174" s="116" t="s">
        <v>94</v>
      </c>
      <c r="F174" s="93">
        <f>6610940+13700</f>
        <v>6624640</v>
      </c>
      <c r="G174" s="116" t="s">
        <v>94</v>
      </c>
      <c r="H174" s="93">
        <f>8629264.5+13700</f>
        <v>8642964.5</v>
      </c>
      <c r="I174" s="116" t="s">
        <v>94</v>
      </c>
      <c r="J174" s="93">
        <f>8629264.5+13700</f>
        <v>8642964.5</v>
      </c>
      <c r="K174" s="116" t="s">
        <v>94</v>
      </c>
      <c r="L174" s="96"/>
      <c r="M174" s="23"/>
      <c r="N174" s="20"/>
      <c r="O174" s="23"/>
      <c r="P174" s="22"/>
      <c r="Q174" s="22"/>
      <c r="R174" s="22"/>
      <c r="S174" s="22"/>
      <c r="T174" s="22"/>
      <c r="U174" s="22"/>
    </row>
    <row r="175" spans="1:21" ht="32.25" customHeight="1" x14ac:dyDescent="0.25">
      <c r="A175" s="248" t="s">
        <v>18</v>
      </c>
      <c r="B175" s="145" t="s">
        <v>14</v>
      </c>
      <c r="C175" s="146" t="s">
        <v>19</v>
      </c>
      <c r="D175" s="37" t="s">
        <v>14</v>
      </c>
      <c r="E175" s="37" t="s">
        <v>14</v>
      </c>
      <c r="F175" s="147">
        <f>SUM(F176:F177)</f>
        <v>36116600</v>
      </c>
      <c r="G175" s="37" t="s">
        <v>14</v>
      </c>
      <c r="H175" s="147">
        <f>SUM(H176:H177)</f>
        <v>37368000</v>
      </c>
      <c r="I175" s="37" t="s">
        <v>14</v>
      </c>
      <c r="J175" s="147">
        <f>SUM(J176:J177)</f>
        <v>37192696.659999996</v>
      </c>
      <c r="K175" s="37" t="s">
        <v>14</v>
      </c>
      <c r="L175" s="152" t="s">
        <v>14</v>
      </c>
      <c r="M175" s="13"/>
      <c r="N175" s="24">
        <v>33325786.800000001</v>
      </c>
      <c r="O175" s="25">
        <v>33273392.370000001</v>
      </c>
      <c r="P175" s="19"/>
      <c r="Q175" s="19"/>
      <c r="R175" s="19"/>
    </row>
    <row r="176" spans="1:21" ht="45" customHeight="1" x14ac:dyDescent="0.25">
      <c r="A176" s="242"/>
      <c r="B176" s="139" t="s">
        <v>336</v>
      </c>
      <c r="C176" s="140" t="s">
        <v>17</v>
      </c>
      <c r="D176" s="141" t="s">
        <v>20</v>
      </c>
      <c r="E176" s="142">
        <v>567</v>
      </c>
      <c r="F176" s="143">
        <f>36116600-F177</f>
        <v>36071600</v>
      </c>
      <c r="G176" s="142">
        <v>567</v>
      </c>
      <c r="H176" s="150">
        <f>37368000-H177</f>
        <v>37323000</v>
      </c>
      <c r="I176" s="151">
        <v>567</v>
      </c>
      <c r="J176" s="150">
        <f>37292226.86-J177-99530.2</f>
        <v>37147696.659999996</v>
      </c>
      <c r="K176" s="65">
        <f t="shared" ref="K176" si="9">I176-G176</f>
        <v>0</v>
      </c>
      <c r="L176" s="49"/>
      <c r="M176" s="13"/>
      <c r="N176" s="24">
        <f>N175-H175</f>
        <v>-4042213.1999999993</v>
      </c>
      <c r="O176" s="25">
        <f>O175-J175</f>
        <v>-3919304.2899999954</v>
      </c>
      <c r="P176" s="19"/>
      <c r="Q176" s="19"/>
      <c r="R176" s="19"/>
    </row>
    <row r="177" spans="1:21" ht="21" customHeight="1" thickBot="1" x14ac:dyDescent="0.3">
      <c r="A177" s="243"/>
      <c r="B177" s="148"/>
      <c r="C177" s="149" t="s">
        <v>135</v>
      </c>
      <c r="D177" s="52" t="s">
        <v>37</v>
      </c>
      <c r="E177" s="53" t="s">
        <v>94</v>
      </c>
      <c r="F177" s="144">
        <v>45000</v>
      </c>
      <c r="G177" s="53" t="s">
        <v>94</v>
      </c>
      <c r="H177" s="144">
        <v>45000</v>
      </c>
      <c r="I177" s="53" t="s">
        <v>94</v>
      </c>
      <c r="J177" s="144">
        <v>45000</v>
      </c>
      <c r="K177" s="153"/>
      <c r="L177" s="54"/>
      <c r="M177" s="13"/>
      <c r="N177" s="16"/>
      <c r="O177" s="12"/>
    </row>
    <row r="178" spans="1:21" ht="40.5" customHeight="1" x14ac:dyDescent="0.25">
      <c r="A178" s="242" t="s">
        <v>107</v>
      </c>
      <c r="B178" s="59" t="s">
        <v>14</v>
      </c>
      <c r="C178" s="216" t="s">
        <v>19</v>
      </c>
      <c r="D178" s="199" t="s">
        <v>14</v>
      </c>
      <c r="E178" s="199" t="s">
        <v>14</v>
      </c>
      <c r="F178" s="222">
        <f>F179+F180+F181+F182</f>
        <v>24627100</v>
      </c>
      <c r="G178" s="199" t="s">
        <v>14</v>
      </c>
      <c r="H178" s="222">
        <f>H179+H180+H181+H182</f>
        <v>26652200</v>
      </c>
      <c r="I178" s="199" t="s">
        <v>14</v>
      </c>
      <c r="J178" s="222">
        <f>J179+J180+J181+J182</f>
        <v>26417309.409999996</v>
      </c>
      <c r="K178" s="199" t="s">
        <v>14</v>
      </c>
      <c r="L178" s="213" t="s">
        <v>14</v>
      </c>
      <c r="M178" s="13"/>
      <c r="N178" s="16">
        <v>22531559.899999999</v>
      </c>
      <c r="O178" s="12">
        <v>22419588.25</v>
      </c>
    </row>
    <row r="179" spans="1:21" ht="19.5" customHeight="1" x14ac:dyDescent="0.25">
      <c r="A179" s="242"/>
      <c r="B179" s="90" t="s">
        <v>104</v>
      </c>
      <c r="C179" s="212" t="s">
        <v>108</v>
      </c>
      <c r="D179" s="63" t="s">
        <v>101</v>
      </c>
      <c r="E179" s="196">
        <v>757</v>
      </c>
      <c r="F179" s="214">
        <v>12587922.41</v>
      </c>
      <c r="G179" s="200">
        <v>757</v>
      </c>
      <c r="H179" s="197">
        <v>13674086.619999999</v>
      </c>
      <c r="I179" s="200">
        <v>756</v>
      </c>
      <c r="J179" s="197">
        <v>13552624.699999999</v>
      </c>
      <c r="K179" s="223">
        <v>13</v>
      </c>
      <c r="L179" s="210"/>
      <c r="M179" s="13"/>
      <c r="N179" s="16">
        <f>N178-H178</f>
        <v>-4120640.1000000015</v>
      </c>
      <c r="O179" s="12">
        <f>O178-J178</f>
        <v>-3997721.1599999964</v>
      </c>
    </row>
    <row r="180" spans="1:21" ht="36" customHeight="1" x14ac:dyDescent="0.25">
      <c r="A180" s="242"/>
      <c r="B180" s="90" t="s">
        <v>105</v>
      </c>
      <c r="C180" s="198" t="s">
        <v>99</v>
      </c>
      <c r="D180" s="63" t="s">
        <v>102</v>
      </c>
      <c r="E180" s="141">
        <v>19000</v>
      </c>
      <c r="F180" s="215">
        <v>3509361.75</v>
      </c>
      <c r="G180" s="141">
        <v>19000</v>
      </c>
      <c r="H180" s="211">
        <v>3797938.5</v>
      </c>
      <c r="I180" s="141">
        <v>19312</v>
      </c>
      <c r="J180" s="211">
        <v>3764466.59</v>
      </c>
      <c r="K180" s="223">
        <v>-630</v>
      </c>
      <c r="L180" s="210"/>
      <c r="M180" s="13"/>
      <c r="N180" s="16"/>
    </row>
    <row r="181" spans="1:21" ht="18.75" customHeight="1" x14ac:dyDescent="0.25">
      <c r="A181" s="242"/>
      <c r="B181" s="201" t="s">
        <v>106</v>
      </c>
      <c r="C181" s="221" t="s">
        <v>100</v>
      </c>
      <c r="D181" s="217" t="s">
        <v>103</v>
      </c>
      <c r="E181" s="204">
        <v>31</v>
      </c>
      <c r="F181" s="207">
        <v>8383064.8399999999</v>
      </c>
      <c r="G181" s="220">
        <v>31</v>
      </c>
      <c r="H181" s="205">
        <v>9072408.8800000008</v>
      </c>
      <c r="I181" s="200">
        <v>31</v>
      </c>
      <c r="J181" s="211">
        <v>8992452.1199999992</v>
      </c>
      <c r="K181" s="223">
        <v>0</v>
      </c>
      <c r="L181" s="208"/>
      <c r="M181" s="13"/>
      <c r="N181" s="16"/>
    </row>
    <row r="182" spans="1:21" ht="23.25" customHeight="1" thickBot="1" x14ac:dyDescent="0.3">
      <c r="A182" s="243"/>
      <c r="B182" s="195"/>
      <c r="C182" s="149" t="s">
        <v>135</v>
      </c>
      <c r="D182" s="218"/>
      <c r="E182" s="53" t="s">
        <v>94</v>
      </c>
      <c r="F182" s="202">
        <v>146751</v>
      </c>
      <c r="G182" s="53" t="s">
        <v>94</v>
      </c>
      <c r="H182" s="219">
        <v>107766</v>
      </c>
      <c r="I182" s="53" t="s">
        <v>94</v>
      </c>
      <c r="J182" s="206">
        <v>107766</v>
      </c>
      <c r="K182" s="203"/>
      <c r="L182" s="209"/>
      <c r="M182" s="13"/>
      <c r="N182" s="16"/>
    </row>
    <row r="183" spans="1:21" s="1" customFormat="1" x14ac:dyDescent="0.25">
      <c r="A183" s="244"/>
      <c r="B183" s="244"/>
      <c r="C183" s="244"/>
      <c r="D183" s="244"/>
      <c r="E183" s="224"/>
      <c r="F183" s="224"/>
      <c r="G183" s="225"/>
      <c r="H183" s="225"/>
      <c r="I183" s="225"/>
      <c r="J183" s="225"/>
      <c r="K183" s="225"/>
      <c r="L183" s="225"/>
      <c r="M183" s="18"/>
      <c r="N183" s="18"/>
      <c r="O183" s="18"/>
      <c r="P183" s="19"/>
      <c r="Q183" s="19"/>
      <c r="R183" s="19"/>
      <c r="S183" s="19"/>
      <c r="T183" s="19"/>
      <c r="U183" s="19"/>
    </row>
    <row r="184" spans="1:21" s="3" customFormat="1" ht="15.75" x14ac:dyDescent="0.25">
      <c r="A184" s="31"/>
      <c r="B184" s="32"/>
      <c r="C184" s="2"/>
      <c r="D184" s="2"/>
      <c r="E184" s="26"/>
      <c r="F184" s="33"/>
      <c r="G184" s="33"/>
      <c r="H184" s="33"/>
      <c r="I184" s="33"/>
      <c r="J184" s="33"/>
      <c r="K184" s="34"/>
      <c r="M184" s="10"/>
      <c r="N184" s="10"/>
      <c r="O184" s="10"/>
      <c r="P184" s="11"/>
      <c r="Q184" s="11"/>
      <c r="R184" s="11"/>
      <c r="S184" s="11"/>
      <c r="T184" s="11"/>
      <c r="U184" s="11"/>
    </row>
    <row r="185" spans="1:21" s="2" customFormat="1" ht="12.75" x14ac:dyDescent="0.2">
      <c r="A185" s="31"/>
      <c r="M185" s="27"/>
      <c r="N185" s="27"/>
      <c r="O185" s="27"/>
      <c r="P185" s="26"/>
      <c r="Q185" s="26"/>
      <c r="R185" s="26"/>
      <c r="S185" s="26"/>
      <c r="T185" s="26"/>
      <c r="U185" s="26"/>
    </row>
    <row r="186" spans="1:21" s="2" customFormat="1" ht="12.75" x14ac:dyDescent="0.2">
      <c r="A186" s="31"/>
      <c r="F186" s="34"/>
      <c r="G186" s="34"/>
      <c r="H186" s="34"/>
      <c r="I186" s="34"/>
      <c r="J186" s="34"/>
      <c r="M186" s="27"/>
      <c r="N186" s="27"/>
      <c r="O186" s="27"/>
      <c r="P186" s="26"/>
      <c r="Q186" s="26"/>
      <c r="R186" s="26"/>
      <c r="S186" s="26"/>
      <c r="T186" s="26"/>
      <c r="U186" s="26"/>
    </row>
    <row r="187" spans="1:21" s="2" customFormat="1" ht="12.75" x14ac:dyDescent="0.2">
      <c r="A187" s="31"/>
      <c r="M187" s="27"/>
      <c r="N187" s="27"/>
      <c r="O187" s="27"/>
      <c r="P187" s="26"/>
      <c r="Q187" s="26"/>
      <c r="R187" s="26"/>
      <c r="S187" s="26"/>
      <c r="T187" s="26"/>
      <c r="U187" s="26"/>
    </row>
    <row r="188" spans="1:21" s="2" customFormat="1" ht="12.75" x14ac:dyDescent="0.2">
      <c r="M188" s="27"/>
      <c r="N188" s="27"/>
      <c r="O188" s="27"/>
      <c r="P188" s="26"/>
      <c r="Q188" s="26"/>
      <c r="R188" s="26"/>
      <c r="S188" s="26"/>
      <c r="T188" s="26"/>
      <c r="U188" s="26"/>
    </row>
    <row r="189" spans="1:21" s="1" customFormat="1" hidden="1" x14ac:dyDescent="0.25">
      <c r="C189" s="4" t="s">
        <v>2</v>
      </c>
      <c r="D189" s="251"/>
      <c r="E189" s="251"/>
      <c r="F189" s="251"/>
      <c r="G189" s="251"/>
      <c r="H189" s="251"/>
      <c r="M189" s="18"/>
      <c r="N189" s="18"/>
      <c r="O189" s="18"/>
      <c r="P189" s="19"/>
      <c r="Q189" s="19"/>
      <c r="R189" s="19"/>
      <c r="S189" s="19"/>
      <c r="T189" s="19"/>
      <c r="U189" s="19"/>
    </row>
    <row r="190" spans="1:21" s="1" customFormat="1" hidden="1" x14ac:dyDescent="0.25">
      <c r="C190" s="4" t="s">
        <v>3</v>
      </c>
      <c r="D190" s="249"/>
      <c r="E190" s="249"/>
      <c r="F190" s="249"/>
      <c r="G190" s="249"/>
      <c r="H190" s="249"/>
      <c r="M190" s="18"/>
      <c r="N190" s="18"/>
      <c r="O190" s="18"/>
      <c r="P190" s="19"/>
      <c r="Q190" s="19"/>
      <c r="R190" s="19"/>
      <c r="S190" s="19"/>
      <c r="T190" s="19"/>
      <c r="U190" s="19"/>
    </row>
    <row r="191" spans="1:21" s="1" customFormat="1" hidden="1" x14ac:dyDescent="0.25">
      <c r="C191" s="4" t="s">
        <v>4</v>
      </c>
      <c r="D191" s="249"/>
      <c r="E191" s="249"/>
      <c r="F191" s="249"/>
      <c r="G191" s="249"/>
      <c r="H191" s="249"/>
      <c r="M191" s="18"/>
      <c r="N191" s="18"/>
      <c r="O191" s="18"/>
      <c r="P191" s="19"/>
      <c r="Q191" s="19"/>
      <c r="R191" s="19"/>
      <c r="S191" s="19"/>
      <c r="T191" s="19"/>
      <c r="U191" s="19"/>
    </row>
    <row r="192" spans="1:21" s="1" customFormat="1" hidden="1" x14ac:dyDescent="0.25">
      <c r="C192" s="4" t="s">
        <v>5</v>
      </c>
      <c r="D192" s="249"/>
      <c r="E192" s="249"/>
      <c r="F192" s="249"/>
      <c r="G192" s="249"/>
      <c r="H192" s="249"/>
      <c r="M192" s="18"/>
      <c r="N192" s="18"/>
      <c r="O192" s="18"/>
      <c r="P192" s="19"/>
      <c r="Q192" s="19"/>
      <c r="R192" s="19"/>
      <c r="S192" s="19"/>
      <c r="T192" s="19"/>
      <c r="U192" s="19"/>
    </row>
    <row r="193" spans="3:21" s="1" customFormat="1" hidden="1" x14ac:dyDescent="0.25">
      <c r="C193" s="4" t="s">
        <v>6</v>
      </c>
      <c r="D193" s="251"/>
      <c r="E193" s="251"/>
      <c r="F193" s="251"/>
      <c r="G193" s="251"/>
      <c r="H193" s="251"/>
      <c r="M193" s="18"/>
      <c r="N193" s="18"/>
      <c r="O193" s="18"/>
      <c r="P193" s="19"/>
      <c r="Q193" s="19"/>
      <c r="R193" s="19"/>
      <c r="S193" s="19"/>
      <c r="T193" s="19"/>
      <c r="U193" s="19"/>
    </row>
    <row r="194" spans="3:21" s="1" customFormat="1" hidden="1" x14ac:dyDescent="0.25">
      <c r="C194" s="4" t="s">
        <v>7</v>
      </c>
      <c r="D194" s="251"/>
      <c r="E194" s="251"/>
      <c r="F194" s="251"/>
      <c r="G194" s="251"/>
      <c r="H194" s="251"/>
      <c r="M194" s="18"/>
      <c r="N194" s="18"/>
      <c r="O194" s="18"/>
      <c r="P194" s="19"/>
      <c r="Q194" s="19"/>
      <c r="R194" s="19"/>
      <c r="S194" s="19"/>
      <c r="T194" s="19"/>
      <c r="U194" s="19"/>
    </row>
    <row r="195" spans="3:21" s="1" customFormat="1" hidden="1" x14ac:dyDescent="0.25">
      <c r="C195" s="4" t="s">
        <v>8</v>
      </c>
      <c r="D195" s="249"/>
      <c r="E195" s="249"/>
      <c r="F195" s="249"/>
      <c r="G195" s="249"/>
      <c r="H195" s="249"/>
      <c r="M195" s="18"/>
      <c r="N195" s="18"/>
      <c r="O195" s="18"/>
      <c r="P195" s="19"/>
      <c r="Q195" s="19"/>
      <c r="R195" s="19"/>
      <c r="S195" s="19"/>
      <c r="T195" s="19"/>
      <c r="U195" s="19"/>
    </row>
    <row r="196" spans="3:21" s="1" customFormat="1" hidden="1" x14ac:dyDescent="0.25">
      <c r="C196" s="4" t="s">
        <v>9</v>
      </c>
      <c r="D196" s="250"/>
      <c r="E196" s="250"/>
      <c r="F196" s="250"/>
      <c r="G196" s="250"/>
      <c r="H196" s="250"/>
      <c r="M196" s="18"/>
      <c r="N196" s="18"/>
      <c r="O196" s="18"/>
      <c r="P196" s="19"/>
      <c r="Q196" s="19"/>
      <c r="R196" s="19"/>
      <c r="S196" s="19"/>
      <c r="T196" s="19"/>
      <c r="U196" s="19"/>
    </row>
    <row r="197" spans="3:21" s="1" customFormat="1" hidden="1" x14ac:dyDescent="0.25">
      <c r="D197" s="249"/>
      <c r="E197" s="249"/>
      <c r="F197" s="249"/>
      <c r="G197" s="249"/>
      <c r="H197" s="249"/>
      <c r="M197" s="18"/>
      <c r="N197" s="18"/>
      <c r="O197" s="18"/>
      <c r="P197" s="19"/>
      <c r="Q197" s="19"/>
      <c r="R197" s="19"/>
      <c r="S197" s="19"/>
      <c r="T197" s="19"/>
      <c r="U197" s="19"/>
    </row>
    <row r="198" spans="3:21" s="1" customFormat="1" hidden="1" x14ac:dyDescent="0.25">
      <c r="M198" s="18"/>
      <c r="N198" s="18"/>
      <c r="O198" s="18"/>
      <c r="P198" s="19"/>
      <c r="Q198" s="19"/>
      <c r="R198" s="19"/>
      <c r="S198" s="19"/>
      <c r="T198" s="19"/>
      <c r="U198" s="19"/>
    </row>
    <row r="199" spans="3:21" s="1" customFormat="1" x14ac:dyDescent="0.25">
      <c r="G199" s="5"/>
      <c r="H199" s="6"/>
      <c r="I199" s="5"/>
      <c r="J199" s="6"/>
      <c r="M199" s="18"/>
      <c r="N199" s="18"/>
      <c r="O199" s="18"/>
      <c r="P199" s="19"/>
      <c r="Q199" s="19"/>
      <c r="R199" s="19"/>
      <c r="S199" s="19"/>
      <c r="T199" s="19"/>
      <c r="U199" s="19"/>
    </row>
    <row r="200" spans="3:21" s="1" customFormat="1" x14ac:dyDescent="0.25">
      <c r="H200" s="7"/>
      <c r="J200" s="7"/>
      <c r="M200" s="18"/>
      <c r="N200" s="18"/>
      <c r="O200" s="18"/>
      <c r="P200" s="19"/>
      <c r="Q200" s="19"/>
      <c r="R200" s="19"/>
      <c r="S200" s="19"/>
      <c r="T200" s="19"/>
      <c r="U200" s="19"/>
    </row>
  </sheetData>
  <mergeCells count="32">
    <mergeCell ref="J1:L1"/>
    <mergeCell ref="A5:A6"/>
    <mergeCell ref="B3:L3"/>
    <mergeCell ref="G4:H4"/>
    <mergeCell ref="B5:C5"/>
    <mergeCell ref="D5:D6"/>
    <mergeCell ref="G5:H5"/>
    <mergeCell ref="I5:L5"/>
    <mergeCell ref="E5:F5"/>
    <mergeCell ref="D195:H195"/>
    <mergeCell ref="D196:H196"/>
    <mergeCell ref="D197:H197"/>
    <mergeCell ref="D189:H189"/>
    <mergeCell ref="D190:H190"/>
    <mergeCell ref="D191:H191"/>
    <mergeCell ref="D192:H192"/>
    <mergeCell ref="D193:H193"/>
    <mergeCell ref="D194:H194"/>
    <mergeCell ref="L79:L98"/>
    <mergeCell ref="A178:A182"/>
    <mergeCell ref="A183:D183"/>
    <mergeCell ref="A78:A99"/>
    <mergeCell ref="A100:A174"/>
    <mergeCell ref="A175:A177"/>
    <mergeCell ref="A9:A77"/>
    <mergeCell ref="C58:C59"/>
    <mergeCell ref="C143:C144"/>
    <mergeCell ref="C145:C146"/>
    <mergeCell ref="B143:B144"/>
    <mergeCell ref="B145:B146"/>
    <mergeCell ref="B61:B62"/>
    <mergeCell ref="C61:C62"/>
  </mergeCells>
  <pageMargins left="0.19685039370078741" right="0.19685039370078741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2026-03-27T07:21:55Z</dcterms:modified>
</cp:coreProperties>
</file>