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ОТДЕЛ БЮДЖЕТНОГО ПЛАНИРОВАНИЯ И ФИНАНСИРОВАНИЯ\рро\ОТДЕЛ БЮДЖЕТНОГО ПЛАНИРОВАНИЯ И ФИНАНСИРОВАНИЯ\Сяфукова\УТОЧНЕНИЕ 2018\5.уточнение в декабре\Пояснительная записка\"/>
    </mc:Choice>
  </mc:AlternateContent>
  <bookViews>
    <workbookView xWindow="0" yWindow="0" windowWidth="16920" windowHeight="12870"/>
  </bookViews>
  <sheets>
    <sheet name="приложение 2" sheetId="2" r:id="rId1"/>
    <sheet name="приложение 2 (для Мартынюк)" sheetId="3" state="hidden" r:id="rId2"/>
  </sheets>
  <definedNames>
    <definedName name="_xlnm.Print_Titles" localSheetId="0">'приложение 2'!$4:$6</definedName>
    <definedName name="_xlnm.Print_Titles" localSheetId="1">'приложение 2 (для Мартынюк)'!$4:$6</definedName>
    <definedName name="_xlnm.Print_Area" localSheetId="0">'приложение 2'!$A$1:$Y$159</definedName>
    <definedName name="_xlnm.Print_Area" localSheetId="1">'приложение 2 (для Мартынюк)'!$A$1:$T$156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4" i="2" l="1"/>
  <c r="W122" i="2" l="1"/>
  <c r="W50" i="2" l="1"/>
  <c r="W143" i="2" l="1"/>
  <c r="W129" i="2" l="1"/>
  <c r="W125" i="2" l="1"/>
  <c r="W69" i="2" l="1"/>
  <c r="W59" i="2" l="1"/>
  <c r="W153" i="2"/>
  <c r="W58" i="2" l="1"/>
  <c r="W76" i="2" l="1"/>
  <c r="W77" i="2"/>
  <c r="W101" i="2" l="1"/>
  <c r="W89" i="2" l="1"/>
  <c r="W90" i="2"/>
  <c r="W74" i="2" l="1"/>
  <c r="W155" i="2" l="1"/>
  <c r="W148" i="2" l="1"/>
  <c r="W150" i="2" l="1"/>
  <c r="W149" i="2" s="1"/>
  <c r="W147" i="2"/>
  <c r="W145" i="2"/>
  <c r="W141" i="2"/>
  <c r="W139" i="2"/>
  <c r="W136" i="2"/>
  <c r="W133" i="2"/>
  <c r="W131" i="2"/>
  <c r="W127" i="2"/>
  <c r="W124" i="2"/>
  <c r="W120" i="2"/>
  <c r="W117" i="2"/>
  <c r="W115" i="2"/>
  <c r="W110" i="2"/>
  <c r="W109" i="2"/>
  <c r="W106" i="2"/>
  <c r="W104" i="2"/>
  <c r="W102" i="2"/>
  <c r="W100" i="2"/>
  <c r="W98" i="2"/>
  <c r="W93" i="2"/>
  <c r="W88" i="2"/>
  <c r="W85" i="2"/>
  <c r="W83" i="2"/>
  <c r="W80" i="2"/>
  <c r="W75" i="2"/>
  <c r="W73" i="2"/>
  <c r="W71" i="2"/>
  <c r="W68" i="2"/>
  <c r="W65" i="2"/>
  <c r="W63" i="2"/>
  <c r="W57" i="2"/>
  <c r="W52" i="2"/>
  <c r="W48" i="2"/>
  <c r="W44" i="2"/>
  <c r="W42" i="2"/>
  <c r="W39" i="2"/>
  <c r="W36" i="2"/>
  <c r="W31" i="2"/>
  <c r="W26" i="2"/>
  <c r="W25" i="2"/>
  <c r="W23" i="2"/>
  <c r="W21" i="2"/>
  <c r="W16" i="2"/>
  <c r="W13" i="2"/>
  <c r="W11" i="2"/>
  <c r="W9" i="2"/>
  <c r="W8" i="2" l="1"/>
  <c r="W144" i="2"/>
  <c r="W47" i="2"/>
  <c r="W135" i="2"/>
  <c r="W119" i="2"/>
  <c r="W87" i="2"/>
  <c r="W79" i="2"/>
  <c r="W62" i="2"/>
  <c r="W30" i="2"/>
  <c r="M156" i="2" l="1"/>
  <c r="P156" i="2"/>
  <c r="S156" i="2"/>
  <c r="U156" i="2" s="1"/>
  <c r="W157" i="2" l="1"/>
  <c r="T142" i="2"/>
  <c r="T141" i="2"/>
  <c r="T139" i="2"/>
  <c r="T136" i="2"/>
  <c r="T108" i="2"/>
  <c r="T107" i="2"/>
  <c r="T105" i="2"/>
  <c r="T104" i="2" s="1"/>
  <c r="T74" i="2"/>
  <c r="T73" i="2" s="1"/>
  <c r="T66" i="2"/>
  <c r="T65" i="2" s="1"/>
  <c r="T68" i="2"/>
  <c r="T26" i="2"/>
  <c r="T25" i="2" s="1"/>
  <c r="T23" i="2"/>
  <c r="T21" i="2"/>
  <c r="T16" i="2"/>
  <c r="T13" i="2"/>
  <c r="T11" i="2"/>
  <c r="T9" i="2"/>
  <c r="T106" i="2" l="1"/>
  <c r="T135" i="2"/>
  <c r="T8" i="2"/>
  <c r="U46" i="2"/>
  <c r="X46" i="2" s="1"/>
  <c r="T150" i="2"/>
  <c r="T149" i="2" s="1"/>
  <c r="T124" i="2"/>
  <c r="T120" i="2"/>
  <c r="T54" i="2"/>
  <c r="T119" i="2" l="1"/>
  <c r="T48" i="2"/>
  <c r="T52" i="2"/>
  <c r="U55" i="2"/>
  <c r="X55" i="2" s="1"/>
  <c r="U56" i="2"/>
  <c r="X56" i="2" s="1"/>
  <c r="T47" i="2" l="1"/>
  <c r="T62" i="2" l="1"/>
  <c r="T157" i="2" s="1"/>
  <c r="R38" i="2" l="1"/>
  <c r="R132" i="2"/>
  <c r="R77" i="2" l="1"/>
  <c r="R76" i="2"/>
  <c r="R66" i="2" l="1"/>
  <c r="R142" i="2" l="1"/>
  <c r="R50" i="2"/>
  <c r="R155" i="2" l="1"/>
  <c r="R123" i="2" l="1"/>
  <c r="R122" i="2"/>
  <c r="R40" i="2" l="1"/>
  <c r="R34" i="2"/>
  <c r="R154" i="2" l="1"/>
  <c r="R95" i="2"/>
  <c r="R69" i="2"/>
  <c r="R59" i="2"/>
  <c r="R84" i="2"/>
  <c r="S72" i="2" l="1"/>
  <c r="U72" i="2" s="1"/>
  <c r="X72" i="2" s="1"/>
  <c r="R71" i="2"/>
  <c r="P71" i="2"/>
  <c r="M71" i="2"/>
  <c r="K71" i="2"/>
  <c r="K68" i="2"/>
  <c r="S71" i="2" l="1"/>
  <c r="U71" i="2" s="1"/>
  <c r="X71" i="2" s="1"/>
  <c r="R151" i="2"/>
  <c r="R14" i="2" l="1"/>
  <c r="R12" i="2"/>
  <c r="R11" i="2"/>
  <c r="S153" i="3" l="1"/>
  <c r="P153" i="3"/>
  <c r="M153" i="3"/>
  <c r="S152" i="3"/>
  <c r="R152" i="3"/>
  <c r="P152" i="3"/>
  <c r="M152" i="3"/>
  <c r="S151" i="3"/>
  <c r="R151" i="3"/>
  <c r="O151" i="3"/>
  <c r="M151" i="3"/>
  <c r="P151" i="3" s="1"/>
  <c r="P150" i="3"/>
  <c r="S150" i="3" s="1"/>
  <c r="M150" i="3"/>
  <c r="R149" i="3"/>
  <c r="O149" i="3"/>
  <c r="M149" i="3"/>
  <c r="P149" i="3" s="1"/>
  <c r="S149" i="3" s="1"/>
  <c r="R148" i="3"/>
  <c r="M148" i="3"/>
  <c r="R147" i="3"/>
  <c r="R146" i="3" s="1"/>
  <c r="O147" i="3"/>
  <c r="O146" i="3" s="1"/>
  <c r="L147" i="3"/>
  <c r="L146" i="3" s="1"/>
  <c r="K147" i="3"/>
  <c r="K146" i="3"/>
  <c r="R145" i="3"/>
  <c r="M145" i="3"/>
  <c r="M144" i="3" s="1"/>
  <c r="R144" i="3"/>
  <c r="O144" i="3"/>
  <c r="L144" i="3"/>
  <c r="K144" i="3"/>
  <c r="M143" i="3"/>
  <c r="R142" i="3"/>
  <c r="O142" i="3"/>
  <c r="O141" i="3" s="1"/>
  <c r="L142" i="3"/>
  <c r="L141" i="3" s="1"/>
  <c r="K142" i="3"/>
  <c r="K141" i="3"/>
  <c r="R140" i="3"/>
  <c r="O140" i="3"/>
  <c r="L140" i="3"/>
  <c r="R139" i="3"/>
  <c r="O139" i="3"/>
  <c r="M139" i="3"/>
  <c r="K138" i="3"/>
  <c r="K132" i="3" s="1"/>
  <c r="R137" i="3"/>
  <c r="R136" i="3" s="1"/>
  <c r="O137" i="3"/>
  <c r="M137" i="3"/>
  <c r="M136" i="3"/>
  <c r="L136" i="3"/>
  <c r="K136" i="3"/>
  <c r="R135" i="3"/>
  <c r="O135" i="3"/>
  <c r="M135" i="3"/>
  <c r="R134" i="3"/>
  <c r="P134" i="3"/>
  <c r="O134" i="3"/>
  <c r="M134" i="3"/>
  <c r="M133" i="3" s="1"/>
  <c r="R133" i="3"/>
  <c r="L133" i="3"/>
  <c r="K133" i="3"/>
  <c r="P131" i="3"/>
  <c r="S131" i="3" s="1"/>
  <c r="S130" i="3" s="1"/>
  <c r="M131" i="3"/>
  <c r="R130" i="3"/>
  <c r="P130" i="3"/>
  <c r="O130" i="3"/>
  <c r="M130" i="3"/>
  <c r="L130" i="3"/>
  <c r="K130" i="3"/>
  <c r="S129" i="3"/>
  <c r="S128" i="3"/>
  <c r="R128" i="3"/>
  <c r="Q128" i="3"/>
  <c r="P128" i="3"/>
  <c r="O128" i="3"/>
  <c r="N128" i="3"/>
  <c r="M128" i="3"/>
  <c r="L128" i="3"/>
  <c r="K128" i="3"/>
  <c r="P127" i="3"/>
  <c r="S127" i="3" s="1"/>
  <c r="M127" i="3"/>
  <c r="R126" i="3"/>
  <c r="O126" i="3"/>
  <c r="M126" i="3"/>
  <c r="R125" i="3"/>
  <c r="R124" i="3" s="1"/>
  <c r="O125" i="3"/>
  <c r="M125" i="3"/>
  <c r="L124" i="3"/>
  <c r="K124" i="3"/>
  <c r="O123" i="3"/>
  <c r="M123" i="3"/>
  <c r="P123" i="3" s="1"/>
  <c r="S123" i="3" s="1"/>
  <c r="O122" i="3"/>
  <c r="M122" i="3"/>
  <c r="R121" i="3"/>
  <c r="O121" i="3"/>
  <c r="L121" i="3"/>
  <c r="K121" i="3"/>
  <c r="S120" i="3"/>
  <c r="R120" i="3"/>
  <c r="P120" i="3"/>
  <c r="M120" i="3"/>
  <c r="S119" i="3"/>
  <c r="R119" i="3"/>
  <c r="O119" i="3"/>
  <c r="M119" i="3"/>
  <c r="P119" i="3" s="1"/>
  <c r="L119" i="3"/>
  <c r="R118" i="3"/>
  <c r="P118" i="3"/>
  <c r="O118" i="3"/>
  <c r="M118" i="3"/>
  <c r="M116" i="3" s="1"/>
  <c r="R116" i="3"/>
  <c r="O116" i="3"/>
  <c r="L116" i="3"/>
  <c r="L115" i="3" s="1"/>
  <c r="K116" i="3"/>
  <c r="K115" i="3"/>
  <c r="P114" i="3"/>
  <c r="S114" i="3" s="1"/>
  <c r="M114" i="3"/>
  <c r="S113" i="3"/>
  <c r="R113" i="3"/>
  <c r="P113" i="3"/>
  <c r="O113" i="3"/>
  <c r="M113" i="3"/>
  <c r="L113" i="3"/>
  <c r="K113" i="3"/>
  <c r="P112" i="3"/>
  <c r="O112" i="3"/>
  <c r="M112" i="3"/>
  <c r="M111" i="3" s="1"/>
  <c r="R111" i="3"/>
  <c r="O111" i="3"/>
  <c r="L111" i="3"/>
  <c r="K111" i="3"/>
  <c r="O110" i="3"/>
  <c r="P110" i="3" s="1"/>
  <c r="S110" i="3" s="1"/>
  <c r="M110" i="3"/>
  <c r="O109" i="3"/>
  <c r="P109" i="3" s="1"/>
  <c r="S109" i="3" s="1"/>
  <c r="M109" i="3"/>
  <c r="O108" i="3"/>
  <c r="P108" i="3" s="1"/>
  <c r="S108" i="3" s="1"/>
  <c r="M108" i="3"/>
  <c r="M107" i="3"/>
  <c r="R106" i="3"/>
  <c r="R105" i="3" s="1"/>
  <c r="L106" i="3"/>
  <c r="K106" i="3"/>
  <c r="K105" i="3"/>
  <c r="P104" i="3"/>
  <c r="S104" i="3" s="1"/>
  <c r="M104" i="3"/>
  <c r="R103" i="3"/>
  <c r="P103" i="3"/>
  <c r="O103" i="3"/>
  <c r="M103" i="3"/>
  <c r="M102" i="3" s="1"/>
  <c r="R102" i="3"/>
  <c r="O102" i="3"/>
  <c r="L102" i="3"/>
  <c r="K102" i="3"/>
  <c r="O101" i="3"/>
  <c r="M101" i="3"/>
  <c r="R100" i="3"/>
  <c r="M100" i="3"/>
  <c r="L100" i="3"/>
  <c r="K100" i="3"/>
  <c r="P99" i="3"/>
  <c r="S99" i="3" s="1"/>
  <c r="M99" i="3"/>
  <c r="S98" i="3"/>
  <c r="R98" i="3"/>
  <c r="P98" i="3"/>
  <c r="O98" i="3"/>
  <c r="M98" i="3"/>
  <c r="L98" i="3"/>
  <c r="K98" i="3"/>
  <c r="P97" i="3"/>
  <c r="S97" i="3" s="1"/>
  <c r="M97" i="3"/>
  <c r="S96" i="3"/>
  <c r="R96" i="3"/>
  <c r="P96" i="3"/>
  <c r="O96" i="3"/>
  <c r="M96" i="3"/>
  <c r="L96" i="3"/>
  <c r="K96" i="3"/>
  <c r="R95" i="3"/>
  <c r="R94" i="3" s="1"/>
  <c r="M95" i="3"/>
  <c r="O94" i="3"/>
  <c r="L94" i="3"/>
  <c r="K94" i="3"/>
  <c r="M93" i="3"/>
  <c r="P93" i="3" s="1"/>
  <c r="S93" i="3" s="1"/>
  <c r="R92" i="3"/>
  <c r="M92" i="3"/>
  <c r="P92" i="3" s="1"/>
  <c r="S92" i="3" s="1"/>
  <c r="P91" i="3"/>
  <c r="S91" i="3" s="1"/>
  <c r="M91" i="3"/>
  <c r="R90" i="3"/>
  <c r="O90" i="3"/>
  <c r="M90" i="3"/>
  <c r="P90" i="3" s="1"/>
  <c r="R89" i="3"/>
  <c r="O89" i="3"/>
  <c r="L89" i="3"/>
  <c r="K89" i="3"/>
  <c r="S88" i="3"/>
  <c r="M88" i="3"/>
  <c r="P88" i="3" s="1"/>
  <c r="R87" i="3"/>
  <c r="P87" i="3"/>
  <c r="S87" i="3" s="1"/>
  <c r="R86" i="3"/>
  <c r="O86" i="3"/>
  <c r="M86" i="3"/>
  <c r="P86" i="3" s="1"/>
  <c r="S86" i="3" s="1"/>
  <c r="R85" i="3"/>
  <c r="M85" i="3"/>
  <c r="R84" i="3"/>
  <c r="O84" i="3"/>
  <c r="O83" i="3" s="1"/>
  <c r="L84" i="3"/>
  <c r="K84" i="3"/>
  <c r="K83" i="3"/>
  <c r="P82" i="3"/>
  <c r="S82" i="3" s="1"/>
  <c r="S81" i="3" s="1"/>
  <c r="M82" i="3"/>
  <c r="R81" i="3"/>
  <c r="O81" i="3"/>
  <c r="M81" i="3"/>
  <c r="L81" i="3"/>
  <c r="K81" i="3"/>
  <c r="P80" i="3"/>
  <c r="S80" i="3" s="1"/>
  <c r="S79" i="3" s="1"/>
  <c r="M80" i="3"/>
  <c r="R79" i="3"/>
  <c r="O79" i="3"/>
  <c r="M79" i="3"/>
  <c r="L79" i="3"/>
  <c r="K79" i="3"/>
  <c r="K75" i="3" s="1"/>
  <c r="R78" i="3"/>
  <c r="M78" i="3"/>
  <c r="P78" i="3" s="1"/>
  <c r="S78" i="3" s="1"/>
  <c r="R77" i="3"/>
  <c r="R76" i="3" s="1"/>
  <c r="R75" i="3" s="1"/>
  <c r="O77" i="3"/>
  <c r="O76" i="3" s="1"/>
  <c r="O75" i="3" s="1"/>
  <c r="L77" i="3"/>
  <c r="M77" i="3" s="1"/>
  <c r="L76" i="3"/>
  <c r="L75" i="3" s="1"/>
  <c r="K76" i="3"/>
  <c r="P74" i="3"/>
  <c r="S74" i="3" s="1"/>
  <c r="M74" i="3"/>
  <c r="R73" i="3"/>
  <c r="O73" i="3"/>
  <c r="M73" i="3"/>
  <c r="P73" i="3" s="1"/>
  <c r="P72" i="3"/>
  <c r="S72" i="3" s="1"/>
  <c r="M72" i="3"/>
  <c r="R71" i="3"/>
  <c r="O71" i="3"/>
  <c r="L71" i="3"/>
  <c r="K71" i="3"/>
  <c r="R70" i="3"/>
  <c r="R69" i="3" s="1"/>
  <c r="O70" i="3"/>
  <c r="O69" i="3" s="1"/>
  <c r="L70" i="3"/>
  <c r="M70" i="3" s="1"/>
  <c r="K69" i="3"/>
  <c r="O68" i="3"/>
  <c r="P68" i="3" s="1"/>
  <c r="S68" i="3" s="1"/>
  <c r="M68" i="3"/>
  <c r="R67" i="3"/>
  <c r="O67" i="3"/>
  <c r="M67" i="3"/>
  <c r="M66" i="3" s="1"/>
  <c r="R66" i="3"/>
  <c r="O66" i="3"/>
  <c r="L66" i="3"/>
  <c r="K66" i="3"/>
  <c r="M65" i="3"/>
  <c r="P65" i="3" s="1"/>
  <c r="S65" i="3" s="1"/>
  <c r="R64" i="3"/>
  <c r="R63" i="3" s="1"/>
  <c r="O64" i="3"/>
  <c r="M64" i="3"/>
  <c r="M63" i="3"/>
  <c r="L63" i="3"/>
  <c r="K63" i="3"/>
  <c r="R62" i="3"/>
  <c r="R61" i="3" s="1"/>
  <c r="R60" i="3" s="1"/>
  <c r="P62" i="3"/>
  <c r="S62" i="3" s="1"/>
  <c r="S61" i="3" s="1"/>
  <c r="M62" i="3"/>
  <c r="M61" i="3" s="1"/>
  <c r="O61" i="3"/>
  <c r="L61" i="3"/>
  <c r="K61" i="3"/>
  <c r="K60" i="3"/>
  <c r="O59" i="3"/>
  <c r="M59" i="3"/>
  <c r="P59" i="3" s="1"/>
  <c r="S59" i="3" s="1"/>
  <c r="R58" i="3"/>
  <c r="L58" i="3"/>
  <c r="M58" i="3" s="1"/>
  <c r="P58" i="3" s="1"/>
  <c r="S58" i="3" s="1"/>
  <c r="R57" i="3"/>
  <c r="O57" i="3"/>
  <c r="O55" i="3" s="1"/>
  <c r="M57" i="3"/>
  <c r="P57" i="3" s="1"/>
  <c r="S57" i="3" s="1"/>
  <c r="R56" i="3"/>
  <c r="M56" i="3"/>
  <c r="R55" i="3"/>
  <c r="L55" i="3"/>
  <c r="K55" i="3"/>
  <c r="R54" i="3"/>
  <c r="O54" i="3"/>
  <c r="P54" i="3" s="1"/>
  <c r="S54" i="3" s="1"/>
  <c r="M54" i="3"/>
  <c r="R53" i="3"/>
  <c r="O53" i="3"/>
  <c r="O52" i="3" s="1"/>
  <c r="M53" i="3"/>
  <c r="R52" i="3"/>
  <c r="M52" i="3"/>
  <c r="L52" i="3"/>
  <c r="K52" i="3"/>
  <c r="M51" i="3"/>
  <c r="P51" i="3" s="1"/>
  <c r="S51" i="3" s="1"/>
  <c r="R50" i="3"/>
  <c r="P50" i="3"/>
  <c r="S50" i="3" s="1"/>
  <c r="M50" i="3"/>
  <c r="R49" i="3"/>
  <c r="P49" i="3"/>
  <c r="S49" i="3" s="1"/>
  <c r="M49" i="3"/>
  <c r="R48" i="3"/>
  <c r="O48" i="3"/>
  <c r="M48" i="3"/>
  <c r="M47" i="3" s="1"/>
  <c r="L48" i="3"/>
  <c r="K48" i="3"/>
  <c r="K47" i="3" s="1"/>
  <c r="R45" i="3"/>
  <c r="P45" i="3"/>
  <c r="P44" i="3" s="1"/>
  <c r="O45" i="3"/>
  <c r="M45" i="3"/>
  <c r="R44" i="3"/>
  <c r="O44" i="3"/>
  <c r="M44" i="3"/>
  <c r="L44" i="3"/>
  <c r="K44" i="3"/>
  <c r="M43" i="3"/>
  <c r="M42" i="3" s="1"/>
  <c r="R42" i="3"/>
  <c r="O42" i="3"/>
  <c r="L42" i="3"/>
  <c r="K42" i="3"/>
  <c r="M41" i="3"/>
  <c r="P41" i="3" s="1"/>
  <c r="S41" i="3" s="1"/>
  <c r="R40" i="3"/>
  <c r="R39" i="3" s="1"/>
  <c r="O40" i="3"/>
  <c r="M40" i="3"/>
  <c r="P40" i="3" s="1"/>
  <c r="P39" i="3"/>
  <c r="O39" i="3"/>
  <c r="L39" i="3"/>
  <c r="K39" i="3"/>
  <c r="R38" i="3"/>
  <c r="O38" i="3"/>
  <c r="P38" i="3" s="1"/>
  <c r="S38" i="3" s="1"/>
  <c r="M38" i="3"/>
  <c r="M37" i="3"/>
  <c r="M36" i="3" s="1"/>
  <c r="R36" i="3"/>
  <c r="O36" i="3"/>
  <c r="L36" i="3"/>
  <c r="K36" i="3"/>
  <c r="M35" i="3"/>
  <c r="P35" i="3" s="1"/>
  <c r="S35" i="3" s="1"/>
  <c r="R34" i="3"/>
  <c r="R31" i="3" s="1"/>
  <c r="R30" i="3" s="1"/>
  <c r="O34" i="3"/>
  <c r="L34" i="3"/>
  <c r="M34" i="3" s="1"/>
  <c r="O33" i="3"/>
  <c r="M33" i="3"/>
  <c r="P33" i="3" s="1"/>
  <c r="S33" i="3" s="1"/>
  <c r="M32" i="3"/>
  <c r="P32" i="3" s="1"/>
  <c r="O31" i="3"/>
  <c r="O30" i="3" s="1"/>
  <c r="K31" i="3"/>
  <c r="K30" i="3" s="1"/>
  <c r="M29" i="3"/>
  <c r="P29" i="3" s="1"/>
  <c r="S29" i="3" s="1"/>
  <c r="R28" i="3"/>
  <c r="M28" i="3"/>
  <c r="P28" i="3" s="1"/>
  <c r="S28" i="3" s="1"/>
  <c r="R27" i="3"/>
  <c r="R26" i="3" s="1"/>
  <c r="R25" i="3" s="1"/>
  <c r="M27" i="3"/>
  <c r="M26" i="3" s="1"/>
  <c r="M25" i="3" s="1"/>
  <c r="O26" i="3"/>
  <c r="O25" i="3" s="1"/>
  <c r="L26" i="3"/>
  <c r="L25" i="3" s="1"/>
  <c r="K26" i="3"/>
  <c r="K25" i="3" s="1"/>
  <c r="P24" i="3"/>
  <c r="S24" i="3" s="1"/>
  <c r="S23" i="3" s="1"/>
  <c r="M24" i="3"/>
  <c r="R23" i="3"/>
  <c r="P23" i="3"/>
  <c r="O23" i="3"/>
  <c r="M23" i="3"/>
  <c r="L23" i="3"/>
  <c r="K23" i="3"/>
  <c r="O22" i="3"/>
  <c r="M22" i="3"/>
  <c r="M21" i="3" s="1"/>
  <c r="R21" i="3"/>
  <c r="O21" i="3"/>
  <c r="L21" i="3"/>
  <c r="K21" i="3"/>
  <c r="M20" i="3"/>
  <c r="P20" i="3" s="1"/>
  <c r="S20" i="3" s="1"/>
  <c r="P19" i="3"/>
  <c r="S19" i="3" s="1"/>
  <c r="O19" i="3"/>
  <c r="M19" i="3"/>
  <c r="P18" i="3"/>
  <c r="S18" i="3" s="1"/>
  <c r="M18" i="3"/>
  <c r="O17" i="3"/>
  <c r="P17" i="3" s="1"/>
  <c r="M17" i="3"/>
  <c r="R16" i="3"/>
  <c r="M16" i="3"/>
  <c r="L16" i="3"/>
  <c r="K16" i="3"/>
  <c r="R15" i="3"/>
  <c r="O15" i="3"/>
  <c r="O13" i="3" s="1"/>
  <c r="M15" i="3"/>
  <c r="R14" i="3"/>
  <c r="P14" i="3"/>
  <c r="S14" i="3" s="1"/>
  <c r="O14" i="3"/>
  <c r="M14" i="3"/>
  <c r="R13" i="3"/>
  <c r="M13" i="3"/>
  <c r="L13" i="3"/>
  <c r="K13" i="3"/>
  <c r="R12" i="3"/>
  <c r="P12" i="3"/>
  <c r="P11" i="3" s="1"/>
  <c r="M12" i="3"/>
  <c r="R11" i="3"/>
  <c r="O11" i="3"/>
  <c r="M11" i="3"/>
  <c r="L11" i="3"/>
  <c r="K11" i="3"/>
  <c r="R10" i="3"/>
  <c r="R9" i="3" s="1"/>
  <c r="R8" i="3" s="1"/>
  <c r="M10" i="3"/>
  <c r="P10" i="3" s="1"/>
  <c r="O9" i="3"/>
  <c r="O8" i="3" s="1"/>
  <c r="L9" i="3"/>
  <c r="L8" i="3" s="1"/>
  <c r="K9" i="3"/>
  <c r="K8" i="3" s="1"/>
  <c r="O47" i="3" l="1"/>
  <c r="L47" i="3"/>
  <c r="R47" i="3"/>
  <c r="S17" i="3"/>
  <c r="S16" i="3" s="1"/>
  <c r="P16" i="3"/>
  <c r="S73" i="3"/>
  <c r="S71" i="3" s="1"/>
  <c r="P71" i="3"/>
  <c r="P89" i="3"/>
  <c r="S90" i="3"/>
  <c r="S89" i="3" s="1"/>
  <c r="S10" i="3"/>
  <c r="S9" i="3" s="1"/>
  <c r="P9" i="3"/>
  <c r="M31" i="3"/>
  <c r="P34" i="3"/>
  <c r="S34" i="3" s="1"/>
  <c r="K154" i="3"/>
  <c r="S32" i="3"/>
  <c r="P31" i="3"/>
  <c r="S48" i="3"/>
  <c r="P70" i="3"/>
  <c r="M69" i="3"/>
  <c r="M60" i="3" s="1"/>
  <c r="P95" i="3"/>
  <c r="M94" i="3"/>
  <c r="P143" i="3"/>
  <c r="M142" i="3"/>
  <c r="M141" i="3" s="1"/>
  <c r="P27" i="3"/>
  <c r="P37" i="3"/>
  <c r="S40" i="3"/>
  <c r="S39" i="3" s="1"/>
  <c r="S12" i="3"/>
  <c r="S11" i="3" s="1"/>
  <c r="P22" i="3"/>
  <c r="M39" i="3"/>
  <c r="P43" i="3"/>
  <c r="S103" i="3"/>
  <c r="S102" i="3" s="1"/>
  <c r="P102" i="3"/>
  <c r="S112" i="3"/>
  <c r="S111" i="3" s="1"/>
  <c r="P111" i="3"/>
  <c r="M9" i="3"/>
  <c r="M8" i="3" s="1"/>
  <c r="O16" i="3"/>
  <c r="L31" i="3"/>
  <c r="L30" i="3" s="1"/>
  <c r="P77" i="3"/>
  <c r="M76" i="3"/>
  <c r="M75" i="3" s="1"/>
  <c r="L83" i="3"/>
  <c r="P101" i="3"/>
  <c r="O100" i="3"/>
  <c r="O106" i="3"/>
  <c r="O105" i="3" s="1"/>
  <c r="P122" i="3"/>
  <c r="M121" i="3"/>
  <c r="M115" i="3" s="1"/>
  <c r="P125" i="3"/>
  <c r="O124" i="3"/>
  <c r="O115" i="3" s="1"/>
  <c r="P137" i="3"/>
  <c r="O136" i="3"/>
  <c r="R141" i="3"/>
  <c r="P48" i="3"/>
  <c r="P79" i="3"/>
  <c r="O133" i="3"/>
  <c r="O132" i="3" s="1"/>
  <c r="P135" i="3"/>
  <c r="S135" i="3" s="1"/>
  <c r="P139" i="3"/>
  <c r="O138" i="3"/>
  <c r="P15" i="3"/>
  <c r="S15" i="3" s="1"/>
  <c r="S13" i="3" s="1"/>
  <c r="M55" i="3"/>
  <c r="P61" i="3"/>
  <c r="M71" i="3"/>
  <c r="P81" i="3"/>
  <c r="M89" i="3"/>
  <c r="P107" i="3"/>
  <c r="M106" i="3"/>
  <c r="M105" i="3" s="1"/>
  <c r="R115" i="3"/>
  <c r="P126" i="3"/>
  <c r="S126" i="3" s="1"/>
  <c r="M124" i="3"/>
  <c r="L132" i="3"/>
  <c r="S134" i="3"/>
  <c r="P133" i="3"/>
  <c r="R138" i="3"/>
  <c r="P64" i="3"/>
  <c r="O63" i="3"/>
  <c r="O60" i="3" s="1"/>
  <c r="S118" i="3"/>
  <c r="S116" i="3" s="1"/>
  <c r="P116" i="3"/>
  <c r="P53" i="3"/>
  <c r="L69" i="3"/>
  <c r="L60" i="3" s="1"/>
  <c r="R83" i="3"/>
  <c r="S45" i="3"/>
  <c r="S44" i="3" s="1"/>
  <c r="P56" i="3"/>
  <c r="P67" i="3"/>
  <c r="P85" i="3"/>
  <c r="M84" i="3"/>
  <c r="L105" i="3"/>
  <c r="R132" i="3"/>
  <c r="M140" i="3"/>
  <c r="L138" i="3"/>
  <c r="P148" i="3"/>
  <c r="M147" i="3"/>
  <c r="M146" i="3" s="1"/>
  <c r="P145" i="3"/>
  <c r="R10" i="2"/>
  <c r="L154" i="3" l="1"/>
  <c r="R154" i="3"/>
  <c r="O154" i="3"/>
  <c r="M138" i="3"/>
  <c r="M132" i="3" s="1"/>
  <c r="P140" i="3"/>
  <c r="S140" i="3" s="1"/>
  <c r="S143" i="3"/>
  <c r="S142" i="3" s="1"/>
  <c r="P142" i="3"/>
  <c r="P66" i="3"/>
  <c r="S67" i="3"/>
  <c r="S66" i="3" s="1"/>
  <c r="S125" i="3"/>
  <c r="S124" i="3" s="1"/>
  <c r="P124" i="3"/>
  <c r="S77" i="3"/>
  <c r="S76" i="3" s="1"/>
  <c r="S75" i="3" s="1"/>
  <c r="P76" i="3"/>
  <c r="P75" i="3" s="1"/>
  <c r="P36" i="3"/>
  <c r="S37" i="3"/>
  <c r="S36" i="3" s="1"/>
  <c r="S70" i="3"/>
  <c r="S69" i="3" s="1"/>
  <c r="P69" i="3"/>
  <c r="P60" i="3" s="1"/>
  <c r="M30" i="3"/>
  <c r="P147" i="3"/>
  <c r="P146" i="3" s="1"/>
  <c r="S148" i="3"/>
  <c r="S147" i="3" s="1"/>
  <c r="S146" i="3" s="1"/>
  <c r="S56" i="3"/>
  <c r="S55" i="3" s="1"/>
  <c r="P55" i="3"/>
  <c r="S53" i="3"/>
  <c r="S52" i="3" s="1"/>
  <c r="P52" i="3"/>
  <c r="P47" i="3" s="1"/>
  <c r="S64" i="3"/>
  <c r="S63" i="3" s="1"/>
  <c r="P63" i="3"/>
  <c r="S137" i="3"/>
  <c r="S136" i="3" s="1"/>
  <c r="P136" i="3"/>
  <c r="S101" i="3"/>
  <c r="S100" i="3" s="1"/>
  <c r="P100" i="3"/>
  <c r="P21" i="3"/>
  <c r="S22" i="3"/>
  <c r="S21" i="3" s="1"/>
  <c r="P26" i="3"/>
  <c r="P25" i="3" s="1"/>
  <c r="S27" i="3"/>
  <c r="S26" i="3" s="1"/>
  <c r="S25" i="3" s="1"/>
  <c r="M83" i="3"/>
  <c r="M154" i="3" s="1"/>
  <c r="P115" i="3"/>
  <c r="S107" i="3"/>
  <c r="S106" i="3" s="1"/>
  <c r="S105" i="3" s="1"/>
  <c r="P106" i="3"/>
  <c r="P105" i="3" s="1"/>
  <c r="S139" i="3"/>
  <c r="S138" i="3" s="1"/>
  <c r="P121" i="3"/>
  <c r="S122" i="3"/>
  <c r="S121" i="3" s="1"/>
  <c r="S115" i="3" s="1"/>
  <c r="P94" i="3"/>
  <c r="S95" i="3"/>
  <c r="S94" i="3" s="1"/>
  <c r="S47" i="3"/>
  <c r="P8" i="3"/>
  <c r="P84" i="3"/>
  <c r="P83" i="3" s="1"/>
  <c r="S85" i="3"/>
  <c r="S84" i="3" s="1"/>
  <c r="S83" i="3" s="1"/>
  <c r="S43" i="3"/>
  <c r="S42" i="3" s="1"/>
  <c r="P42" i="3"/>
  <c r="P30" i="3"/>
  <c r="P13" i="3"/>
  <c r="S31" i="3"/>
  <c r="S30" i="3" s="1"/>
  <c r="S145" i="3"/>
  <c r="S144" i="3" s="1"/>
  <c r="P144" i="3"/>
  <c r="S8" i="3"/>
  <c r="S133" i="3"/>
  <c r="R143" i="2"/>
  <c r="S60" i="3" l="1"/>
  <c r="P141" i="3"/>
  <c r="S132" i="3"/>
  <c r="P138" i="3"/>
  <c r="P132" i="3" s="1"/>
  <c r="P154" i="3" s="1"/>
  <c r="S141" i="3"/>
  <c r="S154" i="3"/>
  <c r="R138" i="2"/>
  <c r="R137" i="2"/>
  <c r="R64" i="2" l="1"/>
  <c r="R121" i="2" l="1"/>
  <c r="R107" i="2" l="1"/>
  <c r="M108" i="2"/>
  <c r="O107" i="2"/>
  <c r="M107" i="2"/>
  <c r="R106" i="2"/>
  <c r="K106" i="2"/>
  <c r="R94" i="2"/>
  <c r="R90" i="2"/>
  <c r="R74" i="2"/>
  <c r="R15" i="2"/>
  <c r="R60" i="2"/>
  <c r="R58" i="2"/>
  <c r="R49" i="2"/>
  <c r="R152" i="2"/>
  <c r="R27" i="2"/>
  <c r="R140" i="2"/>
  <c r="P107" i="2" l="1"/>
  <c r="S107" i="2" l="1"/>
  <c r="U107" i="2" s="1"/>
  <c r="X107" i="2" s="1"/>
  <c r="R28" i="2" l="1"/>
  <c r="M155" i="2" l="1"/>
  <c r="P155" i="2" s="1"/>
  <c r="S155" i="2" s="1"/>
  <c r="U155" i="2" s="1"/>
  <c r="X155" i="2" s="1"/>
  <c r="O154" i="2"/>
  <c r="M154" i="2"/>
  <c r="M153" i="2"/>
  <c r="P153" i="2" s="1"/>
  <c r="S153" i="2" s="1"/>
  <c r="U153" i="2" s="1"/>
  <c r="X153" i="2" s="1"/>
  <c r="O152" i="2"/>
  <c r="M152" i="2"/>
  <c r="M151" i="2"/>
  <c r="P151" i="2" s="1"/>
  <c r="S151" i="2" s="1"/>
  <c r="U151" i="2" s="1"/>
  <c r="X151" i="2" s="1"/>
  <c r="R150" i="2"/>
  <c r="R149" i="2" s="1"/>
  <c r="L150" i="2"/>
  <c r="L149" i="2" s="1"/>
  <c r="K150" i="2"/>
  <c r="K149" i="2" s="1"/>
  <c r="R148" i="2"/>
  <c r="R147" i="2" s="1"/>
  <c r="M148" i="2"/>
  <c r="M147" i="2" s="1"/>
  <c r="O147" i="2"/>
  <c r="L147" i="2"/>
  <c r="K147" i="2"/>
  <c r="M146" i="2"/>
  <c r="P146" i="2" s="1"/>
  <c r="R145" i="2"/>
  <c r="O145" i="2"/>
  <c r="L145" i="2"/>
  <c r="K145" i="2"/>
  <c r="O143" i="2"/>
  <c r="L143" i="2"/>
  <c r="L141" i="2" s="1"/>
  <c r="O142" i="2"/>
  <c r="O141" i="2" s="1"/>
  <c r="M142" i="2"/>
  <c r="R141" i="2"/>
  <c r="K141" i="2"/>
  <c r="O140" i="2"/>
  <c r="O139" i="2" s="1"/>
  <c r="M140" i="2"/>
  <c r="R139" i="2"/>
  <c r="L139" i="2"/>
  <c r="K139" i="2"/>
  <c r="O138" i="2"/>
  <c r="M138" i="2"/>
  <c r="P138" i="2" s="1"/>
  <c r="S138" i="2" s="1"/>
  <c r="U138" i="2" s="1"/>
  <c r="X138" i="2" s="1"/>
  <c r="O137" i="2"/>
  <c r="O136" i="2" s="1"/>
  <c r="M137" i="2"/>
  <c r="P137" i="2" s="1"/>
  <c r="R136" i="2"/>
  <c r="L136" i="2"/>
  <c r="K136" i="2"/>
  <c r="M134" i="2"/>
  <c r="P134" i="2" s="1"/>
  <c r="S134" i="2" s="1"/>
  <c r="R133" i="2"/>
  <c r="O133" i="2"/>
  <c r="L133" i="2"/>
  <c r="K133" i="2"/>
  <c r="S132" i="2"/>
  <c r="R131" i="2"/>
  <c r="Q131" i="2"/>
  <c r="P131" i="2"/>
  <c r="O131" i="2"/>
  <c r="N131" i="2"/>
  <c r="M131" i="2"/>
  <c r="L131" i="2"/>
  <c r="K131" i="2"/>
  <c r="M130" i="2"/>
  <c r="P130" i="2" s="1"/>
  <c r="S130" i="2" s="1"/>
  <c r="U130" i="2" s="1"/>
  <c r="X130" i="2" s="1"/>
  <c r="R129" i="2"/>
  <c r="O129" i="2"/>
  <c r="M129" i="2"/>
  <c r="R128" i="2"/>
  <c r="O128" i="2"/>
  <c r="M128" i="2"/>
  <c r="L127" i="2"/>
  <c r="K127" i="2"/>
  <c r="O126" i="2"/>
  <c r="M126" i="2"/>
  <c r="O125" i="2"/>
  <c r="M125" i="2"/>
  <c r="R124" i="2"/>
  <c r="L124" i="2"/>
  <c r="K124" i="2"/>
  <c r="M123" i="2"/>
  <c r="P123" i="2" s="1"/>
  <c r="S123" i="2" s="1"/>
  <c r="U123" i="2" s="1"/>
  <c r="X123" i="2" s="1"/>
  <c r="O122" i="2"/>
  <c r="L122" i="2"/>
  <c r="M122" i="2" s="1"/>
  <c r="P122" i="2" s="1"/>
  <c r="S122" i="2" s="1"/>
  <c r="O121" i="2"/>
  <c r="M121" i="2"/>
  <c r="P121" i="2" s="1"/>
  <c r="R120" i="2"/>
  <c r="L120" i="2"/>
  <c r="K120" i="2"/>
  <c r="M118" i="2"/>
  <c r="M117" i="2" s="1"/>
  <c r="R117" i="2"/>
  <c r="O117" i="2"/>
  <c r="L117" i="2"/>
  <c r="K117" i="2"/>
  <c r="O116" i="2"/>
  <c r="M116" i="2"/>
  <c r="P116" i="2" s="1"/>
  <c r="R115" i="2"/>
  <c r="O115" i="2"/>
  <c r="L115" i="2"/>
  <c r="K115" i="2"/>
  <c r="O114" i="2"/>
  <c r="M114" i="2"/>
  <c r="P114" i="2" s="1"/>
  <c r="S114" i="2" s="1"/>
  <c r="U114" i="2" s="1"/>
  <c r="X114" i="2" s="1"/>
  <c r="O113" i="2"/>
  <c r="M113" i="2"/>
  <c r="P113" i="2" s="1"/>
  <c r="S113" i="2" s="1"/>
  <c r="U113" i="2" s="1"/>
  <c r="X113" i="2" s="1"/>
  <c r="O112" i="2"/>
  <c r="M112" i="2"/>
  <c r="P112" i="2" s="1"/>
  <c r="S112" i="2" s="1"/>
  <c r="U112" i="2" s="1"/>
  <c r="X112" i="2" s="1"/>
  <c r="M111" i="2"/>
  <c r="P111" i="2" s="1"/>
  <c r="S111" i="2" s="1"/>
  <c r="U111" i="2" s="1"/>
  <c r="X111" i="2" s="1"/>
  <c r="R110" i="2"/>
  <c r="O110" i="2"/>
  <c r="L110" i="2"/>
  <c r="K110" i="2"/>
  <c r="M106" i="2"/>
  <c r="O106" i="2"/>
  <c r="L106" i="2"/>
  <c r="O105" i="2"/>
  <c r="M105" i="2"/>
  <c r="R104" i="2"/>
  <c r="O104" i="2"/>
  <c r="L104" i="2"/>
  <c r="K104" i="2"/>
  <c r="M103" i="2"/>
  <c r="P103" i="2" s="1"/>
  <c r="S103" i="2" s="1"/>
  <c r="R102" i="2"/>
  <c r="O102" i="2"/>
  <c r="L102" i="2"/>
  <c r="K102" i="2"/>
  <c r="M101" i="2"/>
  <c r="P101" i="2" s="1"/>
  <c r="R100" i="2"/>
  <c r="O100" i="2"/>
  <c r="L100" i="2"/>
  <c r="K100" i="2"/>
  <c r="R99" i="2"/>
  <c r="R98" i="2" s="1"/>
  <c r="M99" i="2"/>
  <c r="P99" i="2" s="1"/>
  <c r="O98" i="2"/>
  <c r="L98" i="2"/>
  <c r="K98" i="2"/>
  <c r="M97" i="2"/>
  <c r="P97" i="2" s="1"/>
  <c r="S97" i="2" s="1"/>
  <c r="U97" i="2" s="1"/>
  <c r="X97" i="2" s="1"/>
  <c r="R96" i="2"/>
  <c r="R93" i="2" s="1"/>
  <c r="M96" i="2"/>
  <c r="P96" i="2" s="1"/>
  <c r="M95" i="2"/>
  <c r="P95" i="2" s="1"/>
  <c r="S95" i="2" s="1"/>
  <c r="U95" i="2" s="1"/>
  <c r="X95" i="2" s="1"/>
  <c r="O94" i="2"/>
  <c r="O93" i="2" s="1"/>
  <c r="M94" i="2"/>
  <c r="L93" i="2"/>
  <c r="K93" i="2"/>
  <c r="M92" i="2"/>
  <c r="P92" i="2" s="1"/>
  <c r="S92" i="2" s="1"/>
  <c r="U92" i="2" s="1"/>
  <c r="X92" i="2" s="1"/>
  <c r="R91" i="2"/>
  <c r="P91" i="2"/>
  <c r="O90" i="2"/>
  <c r="O88" i="2" s="1"/>
  <c r="M90" i="2"/>
  <c r="R89" i="2"/>
  <c r="M89" i="2"/>
  <c r="P89" i="2" s="1"/>
  <c r="R88" i="2"/>
  <c r="L88" i="2"/>
  <c r="K88" i="2"/>
  <c r="M86" i="2"/>
  <c r="M85" i="2" s="1"/>
  <c r="R85" i="2"/>
  <c r="O85" i="2"/>
  <c r="L85" i="2"/>
  <c r="K85" i="2"/>
  <c r="M84" i="2"/>
  <c r="P84" i="2" s="1"/>
  <c r="R83" i="2"/>
  <c r="O83" i="2"/>
  <c r="L83" i="2"/>
  <c r="K83" i="2"/>
  <c r="R82" i="2"/>
  <c r="M82" i="2"/>
  <c r="P82" i="2" s="1"/>
  <c r="R81" i="2"/>
  <c r="R80" i="2" s="1"/>
  <c r="O81" i="2"/>
  <c r="O80" i="2" s="1"/>
  <c r="L81" i="2"/>
  <c r="M81" i="2" s="1"/>
  <c r="K80" i="2"/>
  <c r="M78" i="2"/>
  <c r="P78" i="2" s="1"/>
  <c r="O77" i="2"/>
  <c r="M77" i="2"/>
  <c r="M76" i="2"/>
  <c r="P76" i="2" s="1"/>
  <c r="S76" i="2" s="1"/>
  <c r="U76" i="2" s="1"/>
  <c r="X76" i="2" s="1"/>
  <c r="R75" i="2"/>
  <c r="O75" i="2"/>
  <c r="L75" i="2"/>
  <c r="K75" i="2"/>
  <c r="O74" i="2"/>
  <c r="O73" i="2" s="1"/>
  <c r="L74" i="2"/>
  <c r="M74" i="2" s="1"/>
  <c r="R73" i="2"/>
  <c r="K73" i="2"/>
  <c r="O70" i="2"/>
  <c r="M70" i="2"/>
  <c r="O69" i="2"/>
  <c r="M69" i="2"/>
  <c r="R68" i="2"/>
  <c r="L68" i="2"/>
  <c r="M67" i="2"/>
  <c r="P67" i="2" s="1"/>
  <c r="S67" i="2" s="1"/>
  <c r="U67" i="2" s="1"/>
  <c r="X67" i="2" s="1"/>
  <c r="O66" i="2"/>
  <c r="O65" i="2" s="1"/>
  <c r="M66" i="2"/>
  <c r="R65" i="2"/>
  <c r="L65" i="2"/>
  <c r="K65" i="2"/>
  <c r="M64" i="2"/>
  <c r="P64" i="2" s="1"/>
  <c r="S64" i="2" s="1"/>
  <c r="U64" i="2" s="1"/>
  <c r="X64" i="2" s="1"/>
  <c r="R63" i="2"/>
  <c r="O63" i="2"/>
  <c r="L63" i="2"/>
  <c r="K63" i="2"/>
  <c r="O61" i="2"/>
  <c r="M61" i="2"/>
  <c r="P61" i="2" s="1"/>
  <c r="S61" i="2" s="1"/>
  <c r="U61" i="2" s="1"/>
  <c r="X61" i="2" s="1"/>
  <c r="L60" i="2"/>
  <c r="M60" i="2" s="1"/>
  <c r="P60" i="2" s="1"/>
  <c r="S60" i="2" s="1"/>
  <c r="U60" i="2" s="1"/>
  <c r="X60" i="2" s="1"/>
  <c r="O59" i="2"/>
  <c r="M59" i="2"/>
  <c r="M58" i="2"/>
  <c r="P58" i="2" s="1"/>
  <c r="R57" i="2"/>
  <c r="L57" i="2"/>
  <c r="K57" i="2"/>
  <c r="R54" i="2"/>
  <c r="O54" i="2"/>
  <c r="M54" i="2"/>
  <c r="P54" i="2" s="1"/>
  <c r="R53" i="2"/>
  <c r="O53" i="2"/>
  <c r="M53" i="2"/>
  <c r="O52" i="2"/>
  <c r="L52" i="2"/>
  <c r="K52" i="2"/>
  <c r="M51" i="2"/>
  <c r="P51" i="2" s="1"/>
  <c r="S51" i="2" s="1"/>
  <c r="U51" i="2" s="1"/>
  <c r="X51" i="2" s="1"/>
  <c r="M50" i="2"/>
  <c r="P50" i="2" s="1"/>
  <c r="S50" i="2" s="1"/>
  <c r="U50" i="2" s="1"/>
  <c r="X50" i="2" s="1"/>
  <c r="M49" i="2"/>
  <c r="P49" i="2" s="1"/>
  <c r="R48" i="2"/>
  <c r="O48" i="2"/>
  <c r="L48" i="2"/>
  <c r="K48" i="2"/>
  <c r="R45" i="2"/>
  <c r="R44" i="2" s="1"/>
  <c r="O45" i="2"/>
  <c r="O44" i="2" s="1"/>
  <c r="M45" i="2"/>
  <c r="L44" i="2"/>
  <c r="K44" i="2"/>
  <c r="M43" i="2"/>
  <c r="M42" i="2" s="1"/>
  <c r="R42" i="2"/>
  <c r="O42" i="2"/>
  <c r="L42" i="2"/>
  <c r="K42" i="2"/>
  <c r="M41" i="2"/>
  <c r="P41" i="2" s="1"/>
  <c r="S41" i="2" s="1"/>
  <c r="U41" i="2" s="1"/>
  <c r="X41" i="2" s="1"/>
  <c r="O40" i="2"/>
  <c r="O39" i="2" s="1"/>
  <c r="M40" i="2"/>
  <c r="R39" i="2"/>
  <c r="L39" i="2"/>
  <c r="K39" i="2"/>
  <c r="O38" i="2"/>
  <c r="M38" i="2"/>
  <c r="M37" i="2"/>
  <c r="P37" i="2" s="1"/>
  <c r="S37" i="2" s="1"/>
  <c r="U37" i="2" s="1"/>
  <c r="X37" i="2" s="1"/>
  <c r="R36" i="2"/>
  <c r="O36" i="2"/>
  <c r="L36" i="2"/>
  <c r="K36" i="2"/>
  <c r="M35" i="2"/>
  <c r="O34" i="2"/>
  <c r="L34" i="2"/>
  <c r="L31" i="2" s="1"/>
  <c r="O33" i="2"/>
  <c r="M33" i="2"/>
  <c r="M32" i="2"/>
  <c r="P32" i="2" s="1"/>
  <c r="S32" i="2" s="1"/>
  <c r="U32" i="2" s="1"/>
  <c r="X32" i="2" s="1"/>
  <c r="R31" i="2"/>
  <c r="K31" i="2"/>
  <c r="M29" i="2"/>
  <c r="P29" i="2" s="1"/>
  <c r="S29" i="2" s="1"/>
  <c r="U29" i="2" s="1"/>
  <c r="X29" i="2" s="1"/>
  <c r="M28" i="2"/>
  <c r="P28" i="2" s="1"/>
  <c r="S28" i="2" s="1"/>
  <c r="U28" i="2" s="1"/>
  <c r="X28" i="2" s="1"/>
  <c r="M27" i="2"/>
  <c r="R26" i="2"/>
  <c r="R25" i="2" s="1"/>
  <c r="O26" i="2"/>
  <c r="O25" i="2" s="1"/>
  <c r="L26" i="2"/>
  <c r="L25" i="2" s="1"/>
  <c r="K26" i="2"/>
  <c r="K25" i="2" s="1"/>
  <c r="M24" i="2"/>
  <c r="M23" i="2" s="1"/>
  <c r="R23" i="2"/>
  <c r="O23" i="2"/>
  <c r="L23" i="2"/>
  <c r="K23" i="2"/>
  <c r="O22" i="2"/>
  <c r="O21" i="2" s="1"/>
  <c r="M22" i="2"/>
  <c r="M21" i="2" s="1"/>
  <c r="R21" i="2"/>
  <c r="L21" i="2"/>
  <c r="K21" i="2"/>
  <c r="M20" i="2"/>
  <c r="P20" i="2" s="1"/>
  <c r="S20" i="2" s="1"/>
  <c r="U20" i="2" s="1"/>
  <c r="X20" i="2" s="1"/>
  <c r="O19" i="2"/>
  <c r="M19" i="2"/>
  <c r="P19" i="2" s="1"/>
  <c r="S19" i="2" s="1"/>
  <c r="U19" i="2" s="1"/>
  <c r="X19" i="2" s="1"/>
  <c r="M18" i="2"/>
  <c r="P18" i="2" s="1"/>
  <c r="S18" i="2" s="1"/>
  <c r="U18" i="2" s="1"/>
  <c r="X18" i="2" s="1"/>
  <c r="O17" i="2"/>
  <c r="O16" i="2" s="1"/>
  <c r="M17" i="2"/>
  <c r="R16" i="2"/>
  <c r="L16" i="2"/>
  <c r="K16" i="2"/>
  <c r="O15" i="2"/>
  <c r="M15" i="2"/>
  <c r="O14" i="2"/>
  <c r="M14" i="2"/>
  <c r="R13" i="2"/>
  <c r="L13" i="2"/>
  <c r="K13" i="2"/>
  <c r="M12" i="2"/>
  <c r="P12" i="2" s="1"/>
  <c r="O11" i="2"/>
  <c r="L11" i="2"/>
  <c r="K11" i="2"/>
  <c r="M10" i="2"/>
  <c r="P10" i="2" s="1"/>
  <c r="S10" i="2" s="1"/>
  <c r="R9" i="2"/>
  <c r="O9" i="2"/>
  <c r="L9" i="2"/>
  <c r="K9" i="2"/>
  <c r="S133" i="2" l="1"/>
  <c r="U133" i="2" s="1"/>
  <c r="X133" i="2" s="1"/>
  <c r="U134" i="2"/>
  <c r="X134" i="2" s="1"/>
  <c r="U122" i="2"/>
  <c r="X122" i="2" s="1"/>
  <c r="S131" i="2"/>
  <c r="U131" i="2" s="1"/>
  <c r="X131" i="2" s="1"/>
  <c r="U132" i="2"/>
  <c r="X132" i="2" s="1"/>
  <c r="P38" i="2"/>
  <c r="P53" i="2"/>
  <c r="P52" i="2" s="1"/>
  <c r="S89" i="2"/>
  <c r="U89" i="2" s="1"/>
  <c r="X89" i="2" s="1"/>
  <c r="S91" i="2"/>
  <c r="U91" i="2" s="1"/>
  <c r="X91" i="2" s="1"/>
  <c r="O127" i="2"/>
  <c r="R127" i="2"/>
  <c r="R119" i="2" s="1"/>
  <c r="O31" i="2"/>
  <c r="O30" i="2" s="1"/>
  <c r="L73" i="2"/>
  <c r="L62" i="2" s="1"/>
  <c r="P33" i="2"/>
  <c r="S33" i="2" s="1"/>
  <c r="U33" i="2" s="1"/>
  <c r="X33" i="2" s="1"/>
  <c r="R52" i="2"/>
  <c r="R47" i="2" s="1"/>
  <c r="P59" i="2"/>
  <c r="S59" i="2" s="1"/>
  <c r="U59" i="2" s="1"/>
  <c r="X59" i="2" s="1"/>
  <c r="O57" i="2"/>
  <c r="P77" i="2"/>
  <c r="S77" i="2" s="1"/>
  <c r="U77" i="2" s="1"/>
  <c r="X77" i="2" s="1"/>
  <c r="P81" i="2"/>
  <c r="S81" i="2" s="1"/>
  <c r="U81" i="2" s="1"/>
  <c r="X81" i="2" s="1"/>
  <c r="P129" i="2"/>
  <c r="P140" i="2"/>
  <c r="S140" i="2" s="1"/>
  <c r="P142" i="2"/>
  <c r="S142" i="2" s="1"/>
  <c r="U142" i="2" s="1"/>
  <c r="X142" i="2" s="1"/>
  <c r="L80" i="2"/>
  <c r="L79" i="2" s="1"/>
  <c r="O120" i="2"/>
  <c r="O150" i="2"/>
  <c r="O149" i="2" s="1"/>
  <c r="O13" i="2"/>
  <c r="S53" i="2"/>
  <c r="U53" i="2" s="1"/>
  <c r="X53" i="2" s="1"/>
  <c r="O68" i="2"/>
  <c r="O62" i="2" s="1"/>
  <c r="O124" i="2"/>
  <c r="P17" i="2"/>
  <c r="S17" i="2" s="1"/>
  <c r="P69" i="2"/>
  <c r="S69" i="2" s="1"/>
  <c r="S82" i="2"/>
  <c r="U82" i="2" s="1"/>
  <c r="X82" i="2" s="1"/>
  <c r="P126" i="2"/>
  <c r="S126" i="2" s="1"/>
  <c r="U126" i="2" s="1"/>
  <c r="X126" i="2" s="1"/>
  <c r="S102" i="2"/>
  <c r="U102" i="2" s="1"/>
  <c r="X102" i="2" s="1"/>
  <c r="U103" i="2"/>
  <c r="X103" i="2" s="1"/>
  <c r="P74" i="2"/>
  <c r="P73" i="2" s="1"/>
  <c r="M73" i="2"/>
  <c r="M34" i="2"/>
  <c r="P34" i="2" s="1"/>
  <c r="S34" i="2" s="1"/>
  <c r="U34" i="2" s="1"/>
  <c r="X34" i="2" s="1"/>
  <c r="M143" i="2"/>
  <c r="M141" i="2" s="1"/>
  <c r="P105" i="2"/>
  <c r="S105" i="2" s="1"/>
  <c r="S129" i="2"/>
  <c r="U129" i="2" s="1"/>
  <c r="X129" i="2" s="1"/>
  <c r="P154" i="2"/>
  <c r="S154" i="2" s="1"/>
  <c r="U154" i="2" s="1"/>
  <c r="X154" i="2" s="1"/>
  <c r="P15" i="2"/>
  <c r="S15" i="2" s="1"/>
  <c r="U15" i="2" s="1"/>
  <c r="X15" i="2" s="1"/>
  <c r="P40" i="2"/>
  <c r="S40" i="2" s="1"/>
  <c r="P45" i="2"/>
  <c r="P44" i="2" s="1"/>
  <c r="P70" i="2"/>
  <c r="S70" i="2" s="1"/>
  <c r="U70" i="2" s="1"/>
  <c r="X70" i="2" s="1"/>
  <c r="P90" i="2"/>
  <c r="S90" i="2" s="1"/>
  <c r="U90" i="2" s="1"/>
  <c r="X90" i="2" s="1"/>
  <c r="S96" i="2"/>
  <c r="U96" i="2" s="1"/>
  <c r="X96" i="2" s="1"/>
  <c r="P128" i="2"/>
  <c r="S128" i="2" s="1"/>
  <c r="U128" i="2" s="1"/>
  <c r="X128" i="2" s="1"/>
  <c r="P152" i="2"/>
  <c r="S152" i="2" s="1"/>
  <c r="U152" i="2" s="1"/>
  <c r="X152" i="2" s="1"/>
  <c r="R62" i="2"/>
  <c r="S9" i="2"/>
  <c r="U9" i="2" s="1"/>
  <c r="X9" i="2" s="1"/>
  <c r="U10" i="2"/>
  <c r="X10" i="2" s="1"/>
  <c r="K62" i="2"/>
  <c r="K144" i="2"/>
  <c r="L47" i="2"/>
  <c r="O79" i="2"/>
  <c r="M83" i="2"/>
  <c r="L109" i="2"/>
  <c r="K119" i="2"/>
  <c r="K109" i="2"/>
  <c r="M75" i="2"/>
  <c r="R79" i="2"/>
  <c r="R109" i="2"/>
  <c r="M133" i="2"/>
  <c r="M124" i="2"/>
  <c r="M68" i="2"/>
  <c r="P136" i="2"/>
  <c r="K135" i="2"/>
  <c r="R30" i="2"/>
  <c r="K79" i="2"/>
  <c r="L87" i="2"/>
  <c r="P125" i="2"/>
  <c r="L135" i="2"/>
  <c r="O109" i="2"/>
  <c r="M115" i="2"/>
  <c r="L119" i="2"/>
  <c r="O135" i="2"/>
  <c r="P120" i="2"/>
  <c r="S84" i="2"/>
  <c r="P83" i="2"/>
  <c r="P24" i="2"/>
  <c r="S24" i="2" s="1"/>
  <c r="M98" i="2"/>
  <c r="M102" i="2"/>
  <c r="M110" i="2"/>
  <c r="M9" i="2"/>
  <c r="K30" i="2"/>
  <c r="M39" i="2"/>
  <c r="K47" i="2"/>
  <c r="M57" i="2"/>
  <c r="M63" i="2"/>
  <c r="M65" i="2"/>
  <c r="O87" i="2"/>
  <c r="M93" i="2"/>
  <c r="M100" i="2"/>
  <c r="P102" i="2"/>
  <c r="M120" i="2"/>
  <c r="M136" i="2"/>
  <c r="M139" i="2"/>
  <c r="R144" i="2"/>
  <c r="O144" i="2"/>
  <c r="L30" i="2"/>
  <c r="M36" i="2"/>
  <c r="M127" i="2"/>
  <c r="L144" i="2"/>
  <c r="K8" i="2"/>
  <c r="K87" i="2"/>
  <c r="M88" i="2"/>
  <c r="M104" i="2"/>
  <c r="M145" i="2"/>
  <c r="M144" i="2" s="1"/>
  <c r="M48" i="2"/>
  <c r="M44" i="2"/>
  <c r="O47" i="2"/>
  <c r="S101" i="2"/>
  <c r="P100" i="2"/>
  <c r="P27" i="2"/>
  <c r="P26" i="2" s="1"/>
  <c r="P25" i="2" s="1"/>
  <c r="M26" i="2"/>
  <c r="M25" i="2" s="1"/>
  <c r="P98" i="2"/>
  <c r="S99" i="2"/>
  <c r="S110" i="2"/>
  <c r="U110" i="2" s="1"/>
  <c r="X110" i="2" s="1"/>
  <c r="P115" i="2"/>
  <c r="S116" i="2"/>
  <c r="U116" i="2" s="1"/>
  <c r="X116" i="2" s="1"/>
  <c r="P14" i="2"/>
  <c r="M13" i="2"/>
  <c r="S121" i="2"/>
  <c r="P36" i="2"/>
  <c r="S38" i="2"/>
  <c r="P145" i="2"/>
  <c r="S146" i="2"/>
  <c r="S54" i="2"/>
  <c r="P63" i="2"/>
  <c r="S63" i="2"/>
  <c r="U63" i="2" s="1"/>
  <c r="X63" i="2" s="1"/>
  <c r="P35" i="2"/>
  <c r="S35" i="2" s="1"/>
  <c r="P48" i="2"/>
  <c r="S49" i="2"/>
  <c r="P133" i="2"/>
  <c r="P43" i="2"/>
  <c r="M80" i="2"/>
  <c r="P86" i="2"/>
  <c r="R87" i="2"/>
  <c r="P110" i="2"/>
  <c r="P118" i="2"/>
  <c r="S137" i="2"/>
  <c r="P148" i="2"/>
  <c r="S58" i="2"/>
  <c r="U58" i="2" s="1"/>
  <c r="X58" i="2" s="1"/>
  <c r="M52" i="2"/>
  <c r="P66" i="2"/>
  <c r="P94" i="2"/>
  <c r="P108" i="2"/>
  <c r="P106" i="2" s="1"/>
  <c r="L8" i="2"/>
  <c r="M16" i="2"/>
  <c r="M150" i="2"/>
  <c r="M149" i="2" s="1"/>
  <c r="P22" i="2"/>
  <c r="P16" i="2"/>
  <c r="O8" i="2"/>
  <c r="P11" i="2"/>
  <c r="S12" i="2"/>
  <c r="M11" i="2"/>
  <c r="P9" i="2"/>
  <c r="R8" i="2"/>
  <c r="S78" i="2"/>
  <c r="P75" i="2"/>
  <c r="R135" i="2"/>
  <c r="P80" i="2" l="1"/>
  <c r="S145" i="2"/>
  <c r="U145" i="2" s="1"/>
  <c r="X145" i="2" s="1"/>
  <c r="U146" i="2"/>
  <c r="X146" i="2" s="1"/>
  <c r="S120" i="2"/>
  <c r="U120" i="2" s="1"/>
  <c r="X120" i="2" s="1"/>
  <c r="U121" i="2"/>
  <c r="X121" i="2" s="1"/>
  <c r="P57" i="2"/>
  <c r="P124" i="2"/>
  <c r="P139" i="2"/>
  <c r="S88" i="2"/>
  <c r="U88" i="2" s="1"/>
  <c r="X88" i="2" s="1"/>
  <c r="O119" i="2"/>
  <c r="O157" i="2" s="1"/>
  <c r="P104" i="2"/>
  <c r="P39" i="2"/>
  <c r="P68" i="2"/>
  <c r="P88" i="2"/>
  <c r="S80" i="2"/>
  <c r="U80" i="2" s="1"/>
  <c r="X80" i="2" s="1"/>
  <c r="S150" i="2"/>
  <c r="U150" i="2" s="1"/>
  <c r="X150" i="2" s="1"/>
  <c r="M31" i="2"/>
  <c r="S74" i="2"/>
  <c r="S73" i="2" s="1"/>
  <c r="U73" i="2" s="1"/>
  <c r="X73" i="2" s="1"/>
  <c r="S127" i="2"/>
  <c r="U127" i="2" s="1"/>
  <c r="X127" i="2" s="1"/>
  <c r="S45" i="2"/>
  <c r="U45" i="2" s="1"/>
  <c r="X45" i="2" s="1"/>
  <c r="S36" i="2"/>
  <c r="U36" i="2" s="1"/>
  <c r="X36" i="2" s="1"/>
  <c r="U38" i="2"/>
  <c r="X38" i="2" s="1"/>
  <c r="S100" i="2"/>
  <c r="U100" i="2" s="1"/>
  <c r="X100" i="2" s="1"/>
  <c r="U101" i="2"/>
  <c r="X101" i="2" s="1"/>
  <c r="S75" i="2"/>
  <c r="U75" i="2" s="1"/>
  <c r="X75" i="2" s="1"/>
  <c r="U78" i="2"/>
  <c r="X78" i="2" s="1"/>
  <c r="S16" i="2"/>
  <c r="U16" i="2" s="1"/>
  <c r="X16" i="2" s="1"/>
  <c r="U17" i="2"/>
  <c r="X17" i="2" s="1"/>
  <c r="P150" i="2"/>
  <c r="P149" i="2" s="1"/>
  <c r="S39" i="2"/>
  <c r="U39" i="2" s="1"/>
  <c r="X39" i="2" s="1"/>
  <c r="U40" i="2"/>
  <c r="X40" i="2" s="1"/>
  <c r="S83" i="2"/>
  <c r="U83" i="2" s="1"/>
  <c r="X83" i="2" s="1"/>
  <c r="U84" i="2"/>
  <c r="X84" i="2" s="1"/>
  <c r="S23" i="2"/>
  <c r="U23" i="2" s="1"/>
  <c r="X23" i="2" s="1"/>
  <c r="U24" i="2"/>
  <c r="X24" i="2" s="1"/>
  <c r="S31" i="2"/>
  <c r="U31" i="2" s="1"/>
  <c r="X31" i="2" s="1"/>
  <c r="U35" i="2"/>
  <c r="X35" i="2" s="1"/>
  <c r="S104" i="2"/>
  <c r="U104" i="2" s="1"/>
  <c r="X104" i="2" s="1"/>
  <c r="U105" i="2"/>
  <c r="X105" i="2" s="1"/>
  <c r="S57" i="2"/>
  <c r="U57" i="2" s="1"/>
  <c r="X57" i="2" s="1"/>
  <c r="P127" i="2"/>
  <c r="S98" i="2"/>
  <c r="U98" i="2" s="1"/>
  <c r="X98" i="2" s="1"/>
  <c r="U99" i="2"/>
  <c r="X99" i="2" s="1"/>
  <c r="S115" i="2"/>
  <c r="U115" i="2" s="1"/>
  <c r="X115" i="2" s="1"/>
  <c r="S136" i="2"/>
  <c r="U136" i="2" s="1"/>
  <c r="X136" i="2" s="1"/>
  <c r="U137" i="2"/>
  <c r="X137" i="2" s="1"/>
  <c r="S139" i="2"/>
  <c r="U139" i="2" s="1"/>
  <c r="X139" i="2" s="1"/>
  <c r="U140" i="2"/>
  <c r="X140" i="2" s="1"/>
  <c r="P13" i="2"/>
  <c r="P8" i="2" s="1"/>
  <c r="P143" i="2"/>
  <c r="S143" i="2" s="1"/>
  <c r="S68" i="2"/>
  <c r="U68" i="2" s="1"/>
  <c r="X68" i="2" s="1"/>
  <c r="U69" i="2"/>
  <c r="X69" i="2" s="1"/>
  <c r="S48" i="2"/>
  <c r="U48" i="2" s="1"/>
  <c r="X48" i="2" s="1"/>
  <c r="U49" i="2"/>
  <c r="X49" i="2" s="1"/>
  <c r="S52" i="2"/>
  <c r="U52" i="2" s="1"/>
  <c r="X52" i="2" s="1"/>
  <c r="U54" i="2"/>
  <c r="X54" i="2" s="1"/>
  <c r="S11" i="2"/>
  <c r="U11" i="2" s="1"/>
  <c r="X11" i="2" s="1"/>
  <c r="U12" i="2"/>
  <c r="X12" i="2" s="1"/>
  <c r="M62" i="2"/>
  <c r="P23" i="2"/>
  <c r="S125" i="2"/>
  <c r="M87" i="2"/>
  <c r="M79" i="2"/>
  <c r="S27" i="2"/>
  <c r="U27" i="2" s="1"/>
  <c r="X27" i="2" s="1"/>
  <c r="S14" i="2"/>
  <c r="P109" i="2"/>
  <c r="L157" i="2"/>
  <c r="K157" i="2"/>
  <c r="M109" i="2"/>
  <c r="M8" i="2"/>
  <c r="M47" i="2"/>
  <c r="M30" i="2"/>
  <c r="M135" i="2"/>
  <c r="M119" i="2"/>
  <c r="P47" i="2"/>
  <c r="S148" i="2"/>
  <c r="P147" i="2"/>
  <c r="P144" i="2" s="1"/>
  <c r="R157" i="2"/>
  <c r="S108" i="2"/>
  <c r="U108" i="2" s="1"/>
  <c r="X108" i="2" s="1"/>
  <c r="S43" i="2"/>
  <c r="P42" i="2"/>
  <c r="P31" i="2"/>
  <c r="S94" i="2"/>
  <c r="P93" i="2"/>
  <c r="S86" i="2"/>
  <c r="P85" i="2"/>
  <c r="P79" i="2" s="1"/>
  <c r="P65" i="2"/>
  <c r="P62" i="2" s="1"/>
  <c r="S66" i="2"/>
  <c r="S118" i="2"/>
  <c r="P117" i="2"/>
  <c r="S22" i="2"/>
  <c r="P21" i="2"/>
  <c r="S147" i="2" l="1"/>
  <c r="U148" i="2"/>
  <c r="X148" i="2" s="1"/>
  <c r="P119" i="2"/>
  <c r="S109" i="2"/>
  <c r="U109" i="2" s="1"/>
  <c r="X109" i="2" s="1"/>
  <c r="P87" i="2"/>
  <c r="S44" i="2"/>
  <c r="U44" i="2" s="1"/>
  <c r="X44" i="2" s="1"/>
  <c r="S149" i="2"/>
  <c r="U149" i="2" s="1"/>
  <c r="X149" i="2" s="1"/>
  <c r="P30" i="2"/>
  <c r="U74" i="2"/>
  <c r="X74" i="2" s="1"/>
  <c r="S47" i="2"/>
  <c r="U47" i="2" s="1"/>
  <c r="X47" i="2" s="1"/>
  <c r="S30" i="2"/>
  <c r="U30" i="2" s="1"/>
  <c r="X30" i="2" s="1"/>
  <c r="P141" i="2"/>
  <c r="P135" i="2" s="1"/>
  <c r="S85" i="2"/>
  <c r="U86" i="2"/>
  <c r="X86" i="2" s="1"/>
  <c r="S13" i="2"/>
  <c r="S8" i="2" s="1"/>
  <c r="U8" i="2" s="1"/>
  <c r="X8" i="2" s="1"/>
  <c r="U14" i="2"/>
  <c r="X14" i="2" s="1"/>
  <c r="S93" i="2"/>
  <c r="U94" i="2"/>
  <c r="X94" i="2" s="1"/>
  <c r="S42" i="2"/>
  <c r="U42" i="2" s="1"/>
  <c r="X42" i="2" s="1"/>
  <c r="U43" i="2"/>
  <c r="X43" i="2" s="1"/>
  <c r="S21" i="2"/>
  <c r="U21" i="2" s="1"/>
  <c r="X21" i="2" s="1"/>
  <c r="U22" i="2"/>
  <c r="X22" i="2" s="1"/>
  <c r="S106" i="2"/>
  <c r="U106" i="2" s="1"/>
  <c r="X106" i="2" s="1"/>
  <c r="S117" i="2"/>
  <c r="U117" i="2" s="1"/>
  <c r="X117" i="2" s="1"/>
  <c r="U118" i="2"/>
  <c r="X118" i="2" s="1"/>
  <c r="S141" i="2"/>
  <c r="U143" i="2"/>
  <c r="X143" i="2" s="1"/>
  <c r="S124" i="2"/>
  <c r="U125" i="2"/>
  <c r="X125" i="2" s="1"/>
  <c r="S65" i="2"/>
  <c r="U66" i="2"/>
  <c r="X66" i="2" s="1"/>
  <c r="S26" i="2"/>
  <c r="U26" i="2" s="1"/>
  <c r="X26" i="2" s="1"/>
  <c r="M157" i="2"/>
  <c r="P157" i="2" l="1"/>
  <c r="S144" i="2"/>
  <c r="U144" i="2" s="1"/>
  <c r="X144" i="2" s="1"/>
  <c r="U147" i="2"/>
  <c r="X147" i="2" s="1"/>
  <c r="U13" i="2"/>
  <c r="X13" i="2" s="1"/>
  <c r="S87" i="2"/>
  <c r="U87" i="2" s="1"/>
  <c r="X87" i="2" s="1"/>
  <c r="U93" i="2"/>
  <c r="X93" i="2" s="1"/>
  <c r="S79" i="2"/>
  <c r="U79" i="2" s="1"/>
  <c r="X79" i="2" s="1"/>
  <c r="U85" i="2"/>
  <c r="X85" i="2" s="1"/>
  <c r="S135" i="2"/>
  <c r="U135" i="2" s="1"/>
  <c r="X135" i="2" s="1"/>
  <c r="U141" i="2"/>
  <c r="X141" i="2" s="1"/>
  <c r="S119" i="2"/>
  <c r="U119" i="2" s="1"/>
  <c r="X119" i="2" s="1"/>
  <c r="U124" i="2"/>
  <c r="X124" i="2" s="1"/>
  <c r="S62" i="2"/>
  <c r="U62" i="2" s="1"/>
  <c r="X62" i="2" s="1"/>
  <c r="U65" i="2"/>
  <c r="X65" i="2" s="1"/>
  <c r="S25" i="2"/>
  <c r="U25" i="2" s="1"/>
  <c r="X25" i="2" s="1"/>
  <c r="X157" i="2" l="1"/>
  <c r="U157" i="2"/>
  <c r="S157" i="2"/>
</calcChain>
</file>

<file path=xl/sharedStrings.xml><?xml version="1.0" encoding="utf-8"?>
<sst xmlns="http://schemas.openxmlformats.org/spreadsheetml/2006/main" count="1637" uniqueCount="443">
  <si>
    <t>07</t>
  </si>
  <si>
    <t>0</t>
  </si>
  <si>
    <t>40</t>
  </si>
  <si>
    <t/>
  </si>
  <si>
    <t>40.0.07.00000;основное мероприятие "Реализация норм, установленных Бюджетным кодексом Российской Федерации"</t>
  </si>
  <si>
    <t>06</t>
  </si>
  <si>
    <t>05</t>
  </si>
  <si>
    <t>04</t>
  </si>
  <si>
    <t>02</t>
  </si>
  <si>
    <t>01</t>
  </si>
  <si>
    <t>2</t>
  </si>
  <si>
    <t>23</t>
  </si>
  <si>
    <t>1</t>
  </si>
  <si>
    <t>3</t>
  </si>
  <si>
    <t>22</t>
  </si>
  <si>
    <t>21</t>
  </si>
  <si>
    <t>03</t>
  </si>
  <si>
    <t>20</t>
  </si>
  <si>
    <t>18</t>
  </si>
  <si>
    <t>17</t>
  </si>
  <si>
    <t>16</t>
  </si>
  <si>
    <t>15</t>
  </si>
  <si>
    <t>5</t>
  </si>
  <si>
    <t>14</t>
  </si>
  <si>
    <t>4</t>
  </si>
  <si>
    <t>13</t>
  </si>
  <si>
    <t>12</t>
  </si>
  <si>
    <t>6</t>
  </si>
  <si>
    <t>11</t>
  </si>
  <si>
    <t>10</t>
  </si>
  <si>
    <t>09</t>
  </si>
  <si>
    <t>08</t>
  </si>
  <si>
    <t>9</t>
  </si>
  <si>
    <t xml:space="preserve">    К В Р </t>
  </si>
  <si>
    <t xml:space="preserve">    К Ц С Р </t>
  </si>
  <si>
    <t>Наименование муниципальной программы городского округа город Мегион</t>
  </si>
  <si>
    <t>№ муниципальной программы</t>
  </si>
  <si>
    <t>Примечание</t>
  </si>
  <si>
    <t>к пояснительной записке</t>
  </si>
  <si>
    <t>Муниципальная программа "Управление муниципальным имуществом городского округа город Мегион на 2014-2020 годы"</t>
  </si>
  <si>
    <t>основное мероприятие "Обеспечение деятельности Департаментом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</si>
  <si>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</si>
  <si>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"Ремонт муниципального имущества"</t>
  </si>
  <si>
    <t>основное мероприятие "Капитальный ремонт и реконструкция муниципального имущества"</t>
  </si>
  <si>
    <t>основное мероприятие "Обеспечение спортивным оборудованием, экипировкой и инвентарем"</t>
  </si>
  <si>
    <t>Муниципальная программа "Развитие систем гражданской защиты населения городского округа город Мегион в 2014-2020 годах"</t>
  </si>
  <si>
    <t>подпрограмма "Развитие и укрепление материально-технической базы единой диспетчерской службы  городского округа город Мегион"</t>
  </si>
  <si>
    <t>основное мероприятие "Содержание каналов связи, обеспечение информационной безопасности"</t>
  </si>
  <si>
    <t>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</si>
  <si>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основное мероприятие "Совершенствование системы оповещения населения городского округа"</t>
  </si>
  <si>
    <t>подпрограмма "Предупреждение и ликвидация чрезвычайных ситуаций"</t>
  </si>
  <si>
    <t>основное мероприятие "Обеспечение деятельности казенного учреждения  "Управление гражданской защиты населения"</t>
  </si>
  <si>
    <t>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</si>
  <si>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Муниципальная программа  "Улучшение условий и охраны труда в  городском округе город Мегион на 2014-2020 годы"</t>
  </si>
  <si>
    <t>основное мероприятие "Совершенствование государственного управления охраной труда в городском округе город Мегион"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</si>
  <si>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</si>
  <si>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</si>
  <si>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основное мероприятие " Улучшение условий труда в городском округе город Мегион"</t>
  </si>
  <si>
    <t>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</si>
  <si>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основное мероприятие "Содействие развитию малого и среднего предпринимательства в городском округе"</t>
  </si>
  <si>
    <t>Муниципальная программа "Поддержка  социально - ориентированных некоммерческих организаций на 2014-2020 годы"</t>
  </si>
  <si>
    <t>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</si>
  <si>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Муниципальная программа "Управление муниципальными финансами городского округа город Мегион на 2014 - 2020 годы"</t>
  </si>
  <si>
    <t>подпрограмма  "Организация бюджетного процесса в городском округе"</t>
  </si>
  <si>
    <t>основное мероприятие "Обеспечение деятельности Департамента финансов администрации города"</t>
  </si>
  <si>
    <t>основное мероприятие "Обеспечение деятельности казенного учреждения "Централизованная бухгалтерия"</t>
  </si>
  <si>
    <t>подпрограмма  "Управление муниципальным долгом"</t>
  </si>
  <si>
    <t>Муниципальная программа "Развитие культуры и туризма в городском округе город Мегион на 2014 - 2020 годы"</t>
  </si>
  <si>
    <t>подпрограмма "Обеспечение прав граждан на доступ к культурным ценностям и информации"</t>
  </si>
  <si>
    <t>основное мероприятие "Создание условий для развития общедоступных библиотек городского округа"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</si>
  <si>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</si>
  <si>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учреждений"</t>
  </si>
  <si>
    <t>основное мероприятие "Создание городской культурной среды, совершенствование эстетического облика города"</t>
  </si>
  <si>
    <t>подпрограмма "Укрепление единого культурного пространства в городском округе"</t>
  </si>
  <si>
    <t>основное мероприятие "Поиск, выявление, сопровождение и развитие талантливых детей и молодежи"</t>
  </si>
  <si>
    <t>основное мероприятие "Развитие профессионального искусства и создание условий для художественно-творческой деятельности"</t>
  </si>
  <si>
    <t>подпрограмма "Реализация единой государственной политики в отрасли культура"</t>
  </si>
  <si>
    <t>основное мероприятие "Развитие и обеспечение деятельности учреждений"</t>
  </si>
  <si>
    <t>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</si>
  <si>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Муниципальная программа "Развитие муниципальной службы в городском округе город Мегион на 2014-2020 годы"</t>
  </si>
  <si>
    <t>основное мероприятие "Повышение  уровня профессиональной компетентности муниципальных служащих"</t>
  </si>
  <si>
    <t>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</si>
  <si>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</si>
  <si>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Муниципальная программа "Развитие физической культуры и спорта в муниципальном образовании  город Мегион на 2014 -2020 годы"</t>
  </si>
  <si>
    <t>подпрограмма "Развитие массовой физической культуры и спорта"</t>
  </si>
  <si>
    <t>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</si>
  <si>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</si>
  <si>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подпрограмма "Подготовка спортивного резерва"</t>
  </si>
  <si>
    <t>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</si>
  <si>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Муниципальная программа "Обеспечение доступным и комфортным жильем жителей городского округа город Мегион в 2014-2020 годах"</t>
  </si>
  <si>
    <t>подпрограмма "Обеспечение жильем молодых семей"</t>
  </si>
  <si>
    <t>основное мероприятие "Улучшение жилищных условий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</si>
  <si>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</si>
  <si>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</si>
  <si>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</si>
  <si>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подпрограмма "Содействие развитию жилищного строительства на территории городского округа город Мегион"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</si>
  <si>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</si>
  <si>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подпрограмма "Создание наемных домов социального использования на территории городского округа город Мегион"</t>
  </si>
  <si>
    <t>Реализация органами местного самоуправления полномочий в области строительства, градостроительной деятельности и жилищных отношений</t>
  </si>
  <si>
    <t>Муниципальная программа "Развитие информационного общества на территории городского округа город Мегион на 2014-2020 годы"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</si>
  <si>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</si>
  <si>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</si>
  <si>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основное мероприятие "Защита информации органов местного самоуправления городского округа город Мегион"</t>
  </si>
  <si>
    <t>Муниципальная программа "Развитие транспортной системы городского округа город Мегион на 2014-2020 годы"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</si>
  <si>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</si>
  <si>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</si>
  <si>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</si>
  <si>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</si>
  <si>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</si>
  <si>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</si>
  <si>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подпрограмма "Повышение безопасности дорожного движения в городском округе город Мегион"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</si>
  <si>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</si>
  <si>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подпрограмма  "Содержание объектов внешнего благоустройства городского округа  город Мегион"</t>
  </si>
  <si>
    <t>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</si>
  <si>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основное мероприятие "Обеспечение единого порядка содержания объектов внешнего благоустройства"</t>
  </si>
  <si>
    <t>основное мероприятие "Формирование комфортной городской среды"</t>
  </si>
  <si>
    <t>подпрограмма "Модернизация и реформирование жилищно-коммунального комплекса городского округа город Мегион"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</si>
  <si>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</si>
  <si>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</si>
  <si>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</si>
  <si>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</si>
  <si>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основное мероприятие "Энергосбережение в бюджетной сфере"</t>
  </si>
  <si>
    <t>подпрограмма "Капитальный ремонт, реконструкция и ремонт  муниципального жилого фонда городского округа город Мегион"</t>
  </si>
  <si>
    <t>основное мероприятие "Капитальный ремонт, реконструкция и ремонт  муниципального жилого фонда"</t>
  </si>
  <si>
    <t>подпрограмма "Содействие проведению капитального ремонта многоквартирных домов на территории городского округа город Мегион"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</si>
  <si>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</si>
  <si>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</si>
  <si>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основное мероприятие "Совершенствование системы управления градостроительным развитием территории"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</si>
  <si>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</si>
  <si>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основное мероприятие "Повышение доступности объектов социальной инфраструктуры для инвалидов и других маломобильных групп населения"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</si>
  <si>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</si>
  <si>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</si>
  <si>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</si>
  <si>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</si>
  <si>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</si>
  <si>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регулирование"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</si>
  <si>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</si>
  <si>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</si>
  <si>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</si>
  <si>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</si>
  <si>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</si>
  <si>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подпрограмма "Образование"</t>
  </si>
  <si>
    <t>основное мероприятие "Развитие системы дошкольного и общего образования"</t>
  </si>
  <si>
    <t>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</si>
  <si>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основное мероприятие "Обеспечение безопасности и комфортных условий образовательного процесса"</t>
  </si>
  <si>
    <t>основное мероприятие "Подготовка  учреждений образования и молодежной политики к осенне-зимнему периоду"</t>
  </si>
  <si>
    <t>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</si>
  <si>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основное мероприятие "Организация отдыха и оздоровления детей"</t>
  </si>
  <si>
    <t>основное мероприятие  "Обеспечение развития молодежной политики и патриотического воспитания граждан Российской Федерации"</t>
  </si>
  <si>
    <t>основное мероприятие "Содействие трудовой занятости, деловой активности, профессиональному самоопределению молодежи"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</si>
  <si>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</si>
  <si>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</si>
  <si>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Муниципальная программа "Развитие муниципального управления на 2015-2020 годы"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</si>
  <si>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</si>
  <si>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</si>
  <si>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</si>
  <si>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</si>
  <si>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</si>
  <si>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деятельности , исполнения функций и выполнения полномочий органов администрации"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</si>
  <si>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</si>
  <si>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</si>
  <si>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Муниципальная программа "Формирование современной городской среды городского округа город Мегион на 2018-2022 годы"</t>
  </si>
  <si>
    <t>подпрограмма "Благоустройство дворовых территорий"</t>
  </si>
  <si>
    <t>основное мероприятие "Повышение уровня благоустройства и комфорта дворовых территорий в условиях сложившейся застройки"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</si>
  <si>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</si>
  <si>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</si>
  <si>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Непрограммные расходы органов местного самоуправления</t>
  </si>
  <si>
    <t>основное мероприятие "Обеспечение деятельности  Думы города"</t>
  </si>
  <si>
    <t>основное мероприятие "Обеспечение деятельности контрольно-счетной палаты городского округа"</t>
  </si>
  <si>
    <t>основное мероприятие "Формирование резервного фонда администрации города"</t>
  </si>
  <si>
    <t>основное мероприятие "Реализация иных полномочий органов местного самоуправления"</t>
  </si>
  <si>
    <t xml:space="preserve">(-) 3 300,0 тыс. рублей - уменьшен объем бюджетных ассигнований на ремонт внутриквартальных электрических сетей 6 кВ;                                                                           (+) 327,6 тыс. рублей - увеличен объем бюджетных ассигнований в целях заключения муниципальных контрактов на ремонты административных помещений </t>
  </si>
  <si>
    <t>(+) 265,5 тыс. рублей - увеличен объем бюджетных ассигнований для погашения кредиторской задолженности по заключенным муниципальным контрактам</t>
  </si>
  <si>
    <t>(+) 48,7 тыс. рублей - увеличен объем бюджетных ассигнований для погашения кредиторской задолженности по заключенным муниципальным контрактам</t>
  </si>
  <si>
    <t>основное мероприятие "Финансовое обеспечение затрат организаций, осуществляющих свою деятельность в сфере тепло, водоснабжения и водоотведения и оказывающих коммунальные услуги населению городского округа город Мегион, связанных с погашением задолженности за топливно-энергетические ресурсы"</t>
  </si>
  <si>
    <t xml:space="preserve">(+) 14 638,2 тыс.рублей – увеличен объем бюджетных ассигнований на предоставление субсидии организациям коммунального комплекса в целях погашения просроченной кредиторской задолженности за потребленные энергоресурсы. </t>
  </si>
  <si>
    <t>(-) 1 400,0 тыс. рублей - уменьшен объем бюджетных ассигнований в целях погашения кредиторской задолженности по заключенным муниципальным контрактам</t>
  </si>
  <si>
    <t>(+) 27 636,7 тыс. рублей - увеличен объем бюджетных ассигнований для приобретения жилых помещений в целях создания наемного дома социального использования (обеспечение доли софинансирования).</t>
  </si>
  <si>
    <t>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</si>
  <si>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(+) 115,0 тыс. рублей - увеличен объем бюджетных ассигнований для проведения оценки жилых помещений в связи с изъятием земельных участков</t>
  </si>
  <si>
    <t xml:space="preserve">(-) 3 500,0 тыс. рублей - уменьшен объем бюджетных ассигнований в целях погашения кредиторской задолженности по заключенным муниципальным контрактам;                                                                                                           (+) 14 638,2 тыс.рублей – увеличен объем бюджетных ассигнований на предоставление субсидии организациям коммунального комплекса в целях погашения просроченной кредиторской задолженности за потребленные энергоресурсы. </t>
  </si>
  <si>
    <t>(-) 3 500,0 тыс. рублей - уменьшен объем бюджетных ассигнований в целях погашения кредиторской задолженности по заключенным муниципальным контрактам</t>
  </si>
  <si>
    <t>(+) 1 400,0 тыс. рублей - увеличен объем бюджетных ассигнований для погашения кредиторской задолженности по заключенным муниципальным контрактам по приобретению и установке лицензии на использование программного обеспечения для фото и видеофиксации нарушений ПДД</t>
  </si>
  <si>
    <t>(-) 21 300,0 тыс. рублей - уменьшен объем бюджетных ассигнований на основании решений принятых ГРБС;                            (+) 3 793,2 тыс. рублей - увеличен объем бюджетных ассигнований для погашения кредиторской задолженности по заключенным муниципальным контрактам</t>
  </si>
  <si>
    <t>(+) 170,9 тыс. рублей - увеличен объем бюджетных ассигнований для погашения кредиторской задолженности по заключенным муниципальным контрактам</t>
  </si>
  <si>
    <t>(-) 21 300,0 тыс. рублей - уменьшен объем бюджетных ассигнований на основании решений принятых ГРБС;                                          (+) 3 622,3 тыс. рублей - увеличен объем бюджетных ассигнований для погашения кредиторской задолженности по заключенным муниципальным контрактам</t>
  </si>
  <si>
    <t>(-) 1 289,2 тыс. рублей - уменьшен объем бюджетных ассигнований на основании решений принятых ГРБС</t>
  </si>
  <si>
    <t>(-) 2 136,7 тыс. рублей - уменьшен объем бюджетных ассигнований за счет экономии, сложившейся по результатам проведенных аукционов, котировок</t>
  </si>
  <si>
    <t>Изменения сводной бюджетной росписи (+;-)                                                                   (тыс. рублей)</t>
  </si>
  <si>
    <t>Проект с учетом внесенных изменений                   (тыс. рублей)</t>
  </si>
  <si>
    <t>Решение Думы города Мегиона от 27.11.2017 №237 (утверждённый бюджет)                                                      (тыс. рублей)</t>
  </si>
  <si>
    <t>(-) 1 023,7 тыс. рублей - уменьшен объем бюджетных ассигнований в целях погашения кредиторской задолженности по заключенным муниципальным контрактам</t>
  </si>
  <si>
    <t>(+) 1 400,0 тыс. рублей - увеличен объем бюджетных ассигнований для погашения кредиторской задолженности по заключенным муниципальным контрактам по приобретению и установки лицензии на использование программного обеспечения для фото и видеофиксации нарушений ПДД</t>
  </si>
  <si>
    <t>(+) 647,1 тыс. рублей - увеличен объем бюджетных ассигнований для погашения кредиторской задолженности по заключенным муниципальным контрактам 2017 года на ремонт объектов социальной сферы;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1 000,0 тыс.рублей - увеличен объем бюджетных ассигнований для приобретения домиков для реализации программ этнообразования</t>
  </si>
  <si>
    <t>(+) 647,1 тыс. рублей - увеличен объем бюджетных ассигнований для погашения кредиторской задолженности по заключенным муниципальным контрактам 2017 года на ремонт объектов социальной сферы                                                                                                                                                                                                                                                                                                        (+)1000,0 тыс.рублей - увеличен объем бюджетных ассигнований для приобретения домиков для реализации программ этнообразования</t>
  </si>
  <si>
    <t>(+) 1 007,1 тыс. рублей - увеличен объем бюджетных ассигнований для погашения кредиторской задолженности по заключенным муниципальным контрактам 2017 года на ремонт объектов социальной сферы</t>
  </si>
  <si>
    <t>(-) 1 965,5 тыс. рублей - уменьшен объем бюджетных ассигнований путем перераспределения для заключения муниципальных контрактов;                                                                                                                                                                                                                                                                  (-) 6 437,4 тыс. рублей - уменьшен объем бюджетных ассигнований путем перераспределения для заключения муниципальных контрактов на оказание услуг по физической охране в учреждениях дошкольного образования</t>
  </si>
  <si>
    <t>(-) 2 136,7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                                                                                                                                                                   (-) 1 965,5 тыс. рублей - уменьшен объем бюджетных ассигнований путем перераспределения для заключения муниципальных контрактов;                                                                                                                                                                                                                                                               (-) 6 437,4 тыс. рублей - уменьшен объем бюджетных ассигнований путем перераспределения для заключения муниципальных контрактов на оказание услуг по физической охране в учреждениях дошкольного образования</t>
  </si>
  <si>
    <t>(+) 1 965,5 тыс. рублей - увеличен объем бюджетных ассигнований путем перераспределения для заключения муниципальных контрактов;                                                                                                                                                                                                                                                                      (+) 6 437,4 тыс. рублей - увеличен объем бюджетных ассигнований путем перераспределения для заключения муниципальных контрактов на оказание услуг по физической охране в учреждениях дошкольного образования</t>
  </si>
  <si>
    <t>(+) 1 965,5 тыс. рублей - увеличен объем бюджетных ассигнований путем перераспределения для заключения муниципальных контрактов;                                                                                                                                                                                                                                                                  (+) 6 437,4 тыс. рублей - увеличен объем бюджетных ассигнований путем перераспределения для заключения муниципальных контрактов на оказание услуг по физической охране в учреждениях дошкольного образования</t>
  </si>
  <si>
    <t>(-) 187,0 тыс. рублей - уменьшен объем бюджетных ассигнований на содержание и текущий ремонт общего имущества в многоквартирных домах;                                      (-) 100,0 тыс. рублей - уменьшен объем бюджетных ассигнований на проведение мероприятий по охране, защите и воспроизводству городских лесов;                                                                           (+) 172,0 тыс. рублей - увеличен объем бюджетных ассигнований для проведения землеустроительных работ</t>
  </si>
  <si>
    <t xml:space="preserve">(-) 187,0 тыс. рублей - уменьшен объем бюджетных ассигнований на содержание и текущий ремонт общего имущества в многоквартирных домах;                                                                                            (-) 100,0 тыс. рублей - уменьшен объем бюджетных ассигнований на проведение мероприятий по охране, защите и воспроизводству городских лесов;                                                                                                                                       (+) 172,0 тыс. рублей - увеличен объем бюджетных ассигнований для проведения землеустроительных работ;                                                                                                                                                     (-) 3 300,0 тыс. рублей - уменьшен объем бюджетных ассигнований на ремонт внутриквартальных электрических сетей 6 кВ;                                                                                                               (+) 327,6 тыс. рублей - увеличен объем бюджетных ассигнований в целях заключения муниципальных контрактов на ремонты административных помещений </t>
  </si>
  <si>
    <t>Решение Думы города Мегиона от 26.01.2018 №253 (уточненный бюджет)                                                      (тыс. рублей)</t>
  </si>
  <si>
    <t>(+) 2 000,0 тыс. рублей - увеличен объем целевых межбюджетных трансфертов на реализацию наказов избирателей (средства бюджета автономного округа)</t>
  </si>
  <si>
    <t xml:space="preserve">(+) 129,0 тыс. рублей - увеличен объем целевых межбюджетных трансфертов на софинансирование расходов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 (средства бюджета автономного округа);                                                                                      (+) 300,0 тыс. рублей - увеличен объем бюджетных ассигнований на приобретение экипировки и инвентаря МБУ "Спорт-Альтаир" (остаток средств резервного фонда Правительства Тюменской области на 01.01.2017);
(+) 32,0 тыс. рублей - увеличен объем бюджетных ассигнований на приобретение спортивного оборудования, экипировки, инвентаря и участие в учебно-тренировочных мероприятиях по художественной гимнастике МБУ «Спорт-Альтаир» (остаток средств резервного фонда Правительства Тюменской области на 01.01.2017).
</t>
  </si>
  <si>
    <t>(-) 9,2 тыс. рублей - уменьшен объем бюджетных ассигнований путем перераспределения для выполнения программных мероприятий</t>
  </si>
  <si>
    <t>(-) 330,5 тыс. рублей - уменьшен объем целевых межбюджетных трансфертов на реализацию мероприятий по обеспечению жильем молодых семей (в том числе средства федерального бюджета (-) 44,9 тыс. рублей, средства бюджета автономного округа (-) 285,6 тыс. рублей)</t>
  </si>
  <si>
    <t>(+) 10 673,3 тыс. 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</t>
  </si>
  <si>
    <t>основное мероприятие "Строительство городского кладбища"</t>
  </si>
  <si>
    <t xml:space="preserve">(+) 20,0 тыс. рублей - увеличен объем бюджетных ассигнований на проведение санитарно-гигиенической экспертизы по объекту "Строительство объекта "Городское кладбище" </t>
  </si>
  <si>
    <t>(+) 200,0 тыс. рублей - увеличен объем бюджетных ассигнований на проведение комплексных мероприятий (сооружение пандусов)</t>
  </si>
  <si>
    <t>(-) 8 180,6 тыс. рублей - уменьшен объем бюджетных ассигнований на благоустройство дворовых территорий многоквартирных домов (доля софинансирования)</t>
  </si>
  <si>
    <t>(+) 82,3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9,2 тыс. рублей - увеличен объем бюджетных ассигнований путем перераспределения для выполнения программных мероприятий</t>
  </si>
  <si>
    <t>(+) 1 637,0 тыс. рублей - увеличен объем бюджетных ассигнований для внесения платы за помещения, находящиеся в муниципальной собственности на капитальный ремонт общего имущества в многоквартирных домах;
(+) 500,0 тыс. рублей - увеличен объем бюджетных ассигнований для проведения оценки рыночной стоимости жилых помещений, проведение работ по землеустройству, оценке годовой арендной платы за земельные участки, внесение платы за содержание и ремонт общего имущества МКД и квартир, находящихся в муниципальной собственности</t>
  </si>
  <si>
    <t>(-) 3 861,9 тыс. рублей -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№5-ФЗ "О ветеранах" (средства бюджета автономного округа);
(+) 1 693,7 тыс. рублей - увеличен объем целевых межбюджетных трансфертов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бюджета автономного округа)</t>
  </si>
  <si>
    <t>(-) 42 477,6 тыс. рублей - уменьшен объем целевых межбюджетных трансфертов на строительство участка тепловых сетей 2д800мм от УТ-4 до ул.50 лет Октября с переходом ул.Заречная, 2Д700мм от ул.50 лет Октября;
(+) 119,3 тыс. рублей - увеличен объем бюджетных ассигнований на электроснабжение земельных участков под ИЖД пгт.Высокий;
(-) 14 159,2 тыс. рублей - уменьшен объем бюджетных ассигнований на строительство участка тепловых сетей2д800мм от УТ-4 до ул.50 лет Октября с переходом ул.Заречная, 2Д700мм от ул.50 лет Октября (доля софинансирования)</t>
  </si>
  <si>
    <t>(-) 27 187,8 тыс. рублей - уменьшен объем целевых межбюджетных трансфертов на реализацию полномочий в области строительства, градостроительной деятельности и жилищных отношений (приобретение жилых помещений для формирования наемного дома социального использования), (средства бюджета автономного округа);
(-) 2 059,8 тыс. рублей - уменьшен объем бюджетных ассигнований на приобретение жилых помещений для формирования наемного дома социального использования (доля софинансирования);
(+) 2 477,0 тыс. рублей - увеличен объем бюджетных ассигнований на оснащение наемных домов социального использования</t>
  </si>
  <si>
    <t>(-) 216,2 тыс. рублей - уменьшен объем бюджетных ассигнований на градостроительную деятельность (доля софинансирования);
(-) 1 748,9 тыс. рублей - уменьшен объем целевых межбюджетных трансфертов на градостроительную деятельность</t>
  </si>
  <si>
    <t>(+) 4,5 тыс. рублей – увеличен объем целевых межбюджетных трансфертов на обеспечение дополнительных гарантий прав на жилое помещение детей-сирот и детей оставшихся без попечения родителей, лиц из числа детей-сирот и детей, оставшихся без попечения родителей (в части администрирования), (средства бюджета автономного округа);
(+) 594,1 тыс. рублей – увеличен объем бюджетных ассигнований на осуществление переданных полномочий по опеке и попечительству (средства бюджета автономного округа);
(+) 61,9 тыс. рублей - увеличен объем бюджетных ассигнований на осуществление полномочий по созданию и обеспечению деятельности административных комиссий (средства бюджета автономного округа);
(+) 269,0 тыс. рублей - увеличен объем бюджетных ассигнований на осуществление полномочий по образованию и организации деятельности комиссий по делам несовершеннолетних и защите их прав (средства бюджета автономного округа)</t>
  </si>
  <si>
    <t xml:space="preserve">(-) 0,2 тыс. рублей - уменьшен объем бюджетных ассигнований в связи с проведением оптимизации расходов бюджета города в 2018 году </t>
  </si>
  <si>
    <t>(+) 7 022,9 тыс. рублей - увеличен объем целевых межбюджетных трансфертов на поддержку малого и среднего предпринимательства (средства бюджета автономного округа);
(-) 112,0 тыс. рублей - уменьшен объем бюджетных ассигнований в связи с проведением оптимизации расходов бюджета города в 2018 году</t>
  </si>
  <si>
    <t>(-) 522,4 тыс. рублей - уменьшен объем бюджетных ассигнований в связи с проведением оптимизации расходов бюджета города в 2018 году</t>
  </si>
  <si>
    <t>(-) 351,5 тыс. рублей - уменьшен объем бюджетных ассигнований в связи с проведением оптимизации расходов бюджета города в 2018 году</t>
  </si>
  <si>
    <t>(-) 170,9 тыс. рублей - уменьшен объем бюджетных ассигнований в связи с проведением оптимизации расходов бюджета города в 2018 году</t>
  </si>
  <si>
    <t>(-) 50,0 тыс. рублей - уменьшен объем бюджетных ассигнований в связи с проведением оптимизации расходов бюджета города в 2018 году</t>
  </si>
  <si>
    <t>(-) 244,2 тыс. рублей - уменьшен объем бюджетных ассигнований в связи с проведением оптимизации расходов бюджета города в 2018 году</t>
  </si>
  <si>
    <t>(-) 178,8 тыс. рублей - уменьшен объем бюджетных ассигнований в связи с проведением оптимизации расходов бюджета города в 2018 году</t>
  </si>
  <si>
    <t>(-) 7 600,0 тыс. рублей - уменьшен объем бюджетных ассигнований на ремонт административного здания ул.Нефтяников, 8 (ремонт крыши);
(-) 19,8 тыс. рублей - уменьшен объем бюджетных ассигнований в связи с проведением оптимизации расходов бюджета города в 2018 году</t>
  </si>
  <si>
    <t>(-) 1 320,0 тыс. рублей - уменьшен объем бюджетных ассигнований в связи с проведением оптимизации расходов бюджета города в 2018 году</t>
  </si>
  <si>
    <t>(-) 137,2 тыс.рублей - уменьшен объем бюджетных ассигнований в связи с проведением оптимизации расходов бюджета города в 2018 году .</t>
  </si>
  <si>
    <t xml:space="preserve">(+) 70,0 тыс. рублей - увеличен объем бюджетных ассигнований на участие в спортивном мероприятии по парашютному спорту ММАУ "Старт" (средства резервного фонда Правительства Тюменской области);                             (+) 4 385,1 тыс.рублей -увеличен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(-) 150,0 тыс.рублей -  уменьшен объем бюджетных ассигнований в связи с проведением оптимизации расходов бюджета города в 2018 году;                                                   .                                   (+)1 229,1 тыс.рублей 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местного бюджета).   </t>
  </si>
  <si>
    <t>(+) 15 000,0 тыс.рублей - увеличен объем бюджетных ассигнований на организацию отдыха и оздоровление детей жителей города Мегион и поселка Высокий в течении 2018 года на территории РФ (средства благотворительных пожертвований ОАО "СН-МНГ");                                                              +) 17,0 тыс. рублей – увеличен объем целевых межбюджетных трансфертов на организацию и обеспечение отдыха и оздоровления детей, в том числе в этнической среде (средства бюджета автономного округа).</t>
  </si>
  <si>
    <t xml:space="preserve">(+) 15,2 тыс. рублей – увеличен объем целевых межбюджетных трансфертов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(средства бюджета автономного округа);
(+) 3,8 тыс. рублей - увеличен объем бюджетных ассигнований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(доля софинансирования);
(+) 450,0 тыс. рублей - увеличен объем бюджетных ассигнований на проведение поверки камер фото- и видеофиксации нарушений правил дорожного движения;
(-) 201,0 тыс. рублей - уменьшен объем бюджетных ассигнований в связи с проведением оптимизации расходов бюджета города в 2018 году
(-) 19,2 тыс. рублей - уменьшен объем целевых межбюджетных трансфертов на обеспечение функционирования и развития систем видеонаблюдения в сфере общественного порядка (средства бюджета автономного округа);
(-) 3,8 тыс. рублей - уменьшен объем бюджетных ассигнований на обеспечение функционирования и развития систем видеонаблюдения в сфере общественного порядка (доля софинансирования)
</t>
  </si>
  <si>
    <t xml:space="preserve">(+) 15,2 тыс. рублей – увеличен объем целевых межбюджетных трансфертов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(средства бюджета автономного округа);
(+) 3,8 тыс. рублей - увеличен объем бюджетных ассигнований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(доля софинансирования);
(+) 450,0 тыс. рублей - увеличен объем бюджетных ассигнований на проведение поверки камер фото- и видеофиксации нарушений правил дорожного движения;
</t>
  </si>
  <si>
    <t xml:space="preserve">(-) 19,2 тыс. рублей - уменьшен объем целевых межбюджетных трансфертов на обеспечение функционирования и развития систем видеонаблюдения в сфере общественного порядка (средства бюджета автономного округа);
(-) 3,8 тыс. рублей - уменьшен объем бюджетных ассигнований на обеспечение функционирования и развития систем видеонаблюдения в сфере общественного порядка (доля софинансирования);
(-) 1,0 тыс. рублей - уменьшен объем бюджетных ассигнований в связи с проведением оптимизации расходов бюджета города в 2018 году
</t>
  </si>
  <si>
    <t>(-) 239,1 тыс. рублей - уменьшен объем бюджетных ассигнований в результате сложившейся экономии по заключенным контрактам;
(+) 475,0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(-) 588,6 тыс. рублей - уменьшен объем бюджетных ассигнований в связи с проведением оптимизации расходов бюджета города в 2018 году</t>
  </si>
  <si>
    <t xml:space="preserve">(+) 1 056,8 тыс. рублей - 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(-) 600,0 тыс. рублей - уменьшен объем бюджетных ассигнований по льготному проезду ОМС;
(-) 60,6 тыс. рублей - увеличен объем бюджетных ассигнований на обеспечение деятельности администрации города; 
(-) 1 802,1 тыс. рублей - уменьшен объем бюджетных ассигнований в связи с проведением оптимизации расходов бюджета города в 2018 году
</t>
  </si>
  <si>
    <t xml:space="preserve">(+) 1 056,8 тыс. рублей - 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(-) 600,0 тыс. рублей - уменьшен объем бюджетных ассигнований по льготному проезду ОМС;
(-) 60,6 тыс. рублей - увеличен объем бюджетных ассигнований на обеспечение деятельности администрации города; 
(-) 1 802,1 тыс. рублей - уменьшен объем бюджетных ассигнований в связи с проведением оптимизации расходов бюджета города в 2018 году;
(+) 4,5 тыс. рублей – увеличен объем целевых межбюджетных трансфертов на обеспечение дополнительных гарантий прав на жилое помещение детей-сирот и детей оставшихся без попечения родителей, лиц из числа детей-сирот и детей, оставшихся без попечения родителей (в части администрирования), (средства бюджета автономного округа);
(+) 594,1 тыс. рублей – увеличен объем бюджетных ассигнований на осуществление переданных полномочий по опеке и попечительству (средства бюджета автономного округа);
(+) 61,9 тыс. рублей - увеличен объем бюджетных ассигнований на осуществление полномочий по созданию и обеспечению деятельности административных комиссий (средства бюджета автономного округа);
(+) 269,0 тыс. рублей - увеличен объем бюджетных ассигнований на осуществление полномочий по образованию и организации деятельности комиссий по делам несовершеннолетних и защите их прав (средства бюджета автономного округа)
</t>
  </si>
  <si>
    <t>(-) 4 000,0 тыс. рублей - уменьшен объем бюджетных ассигнований в результате сложившейся экономии по заключенным контрактам;
(+) 5 426,3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(+) 114,9 тыс. рублей - увеличен объем бюджетных ассигнований на оплату исполнительных листов;                     
(+) 100,0 тыс. рублей - увеличен объем бюджетных ассигнований на оплату административного штрафа                                                                                           
(+) 1 520,9 тыс.рублей - увеличен объем бюджетных ассигнований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местного бюджета);                                                                                                                                 
(-) 737,0 тыс. рублей - уменьшен объем бюджетных ассигнований на содержание МКУ "ДЭИ"</t>
  </si>
  <si>
    <t>(-) 238,6 тыс. рублей - уменьшен объем бюджетных ассигнований в связи с проведением оптимизации расходов бюджета города в 2018 году</t>
  </si>
  <si>
    <t>(-) 60,0 тыс. рублей - уменьшен объем бюджетных ассигнований на обеспечение деятельности контрольно-счетной палаты города Мегиона;                                                             
(-) 494,4 тыс. рублей - уменьшен объем бюджетных ассигнований в связи с проведением оптимизации расходов бюджета города в 2018 году</t>
  </si>
  <si>
    <t>(-) 70,0 тыс.рублей -  уменьшен объем бюджетных ассигнований в связи с проведением оптимизации расходов бюджета города в 2018 году</t>
  </si>
  <si>
    <t xml:space="preserve">(+) 15 000,0 тыс.рублей - увеличен объем бюджетных ассигнований на организацию отдыха и оздоровление детей жителей города Мегион и поселка Высокий в течении 2018 года на территории РФ (средства благотворительных пожертвований ОАО "СН-МНГ");
(+) 17,0 тыс. рублей – увеличен объем целевых межбюджетных трансфертов на организацию и обеспечение отдыха и оздоровления детей, в том числе в этнической среде (средства бюджета автономного округа);
(+) 70,0 тыс. рублей - увеличен объем бюджетных ассигнований на участие в спортивном мероприятии по парашютному спорту ММАУ "Старт" (средства резервного фонда Правительства Тюменской области);
(+) 4 385,1 тыс.рублей -увеличен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(-) 150,0 тыс.рублей -  уменьшен объем бюджетных ассигнований в связи с проведением оптимизации расходов бюджета города в 2018 году;
(+) 1 229,1 тыс.рублей 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местного бюджета).   </t>
  </si>
  <si>
    <t xml:space="preserve">(+) 4,8 тыс. рублей -увеличен объем бюджетных ассигнований для реализации мероприятий в области культуры путем внутреннего перераспределения;
(+) 50,0 тыс. рублей - увеличен объем целевых межбюджетных трансфертов на реализацию наказов избирателей (средства бюджета автономного округа);
(+) 130,0 тыс рублей- увеличен объем бюджетных ассигнований путем перераспределения;                               </t>
  </si>
  <si>
    <t>(+) 1 637,0 тыс. рублей - увеличен объем бюджетных ассигнований для внесения платы за помещения, находящиеся в муниципальной собственности на капитальный ремонт общего имущества в многоквартирных домах;
(+) 500,0 тыс. рублей - увеличен объем бюджетных ассигнований для проведения оценки рыночной стоимости жилых помещений, проведение работ по землеустройству, оценке годовой арендной платы за земельные участки, внесение платы за содержание и ремонт общего имущества МКД и квартир, находящихся в муниципальной собственности;
(-) 7 600,0 тыс. рублей - уменьшен объем бюджетных ассигнований на ремонт административного здания ул.Нефтяников, 8 (ремонт крыши);
(-) 442,8 тыс. рублей - уменьшен объем бюджетных ассигнований в связи с проведением оптимизации расходов бюджета города в 2018 году</t>
  </si>
  <si>
    <t>основное мероприятие "Выполнение отдельных мероприятий"</t>
  </si>
  <si>
    <t>(+) 17,9 - тыс. рублей - увеличен объем бюджетных ассигнований путем перераспределения (средства местного бюджета)</t>
  </si>
  <si>
    <t>(-) 429,8 тыс.рублей - уменьшен объем бюджетных ассигнований в связи с проведением оптимизации расходов бюджета города в 2018 году;                                                                                                                                                                                                                                                            (-) 17,9 тыс.рублей - уменьшен объем бюджетных ассигнований путем перераспределения (средства местного бюджета).</t>
  </si>
  <si>
    <t>(-) 1 400,0 тыс. рублей - уменьшен объем бюджетных ассигнований по обеспечению стабильной, благополучной эпизоологической обстановки и защита населения от болезней,  общих для человека и животных</t>
  </si>
  <si>
    <t>(+) 1 659,6 - увеличен объем бюджетных ассигнований на ПИРы по газификации школы в п.Высокий на 300 мест;
(+) 100,0 тыс. рублей - увеличен объем бюджетных ассигнований на корректировку (актуализацию) программы комплексного развития систем коммунальной инфраструктуры городского округа город Мегион;
(+) 450,0 тыс. рублей - увеличен объем бюджетных ассигнований на обслуживание и ремонт пожарных гидрантов;
(+) 90,0 - увеличен объем бюджетных ассигнований на приобретение и установку пожарных гидрантов;                                        
(-) 700,7 тыс. рублей - уменьшен объем бюджетных ассигнований в связи с проведением оптимизации расходов бюджета города в 2018 году</t>
  </si>
  <si>
    <t>(+) 1 659,6 - увеличен объем бюджетных ассигнований на ПИРы по газификации школы в п.Высокий на 300 мест;
(+) 200,0 тыс. рублей - увеличен объем бюджетных ассигнований на корректировку (актуализацию) программы комплексного развития систем коммунальной инфраструктуры городского округа город Мегион;
(+) 450,0 тыс. рублей - увеличен объем бюджетных ассигнований на обслуживание и ремонт пожарных гидрантов;
(+) 90,0 - увеличен объем бюджетных ассигнований на приобретение и установку пожарных гидрантов;                                        (-) 100,0 тыс. рублей - уменьшен объем бюджетных ассигнований на корректировку (актуализацию) программы комплексного развития системы коммунальной инфраструктуры городского округа;                                                     (-) 700,7 тыс. рублей - уменьшен объем бюджетных ассигнований в связи с проведением оптимизации расходов бюджета города в 2018 году</t>
  </si>
  <si>
    <t>(-) 20,0 тыс. рублей - уменьшен объем бюджетных ассигнований на содержание кладбища;   (-) 45,4 тыс. рублей - уменьшен объем бюджетных ассигнований на закупку и посадку насаждений;                                                                                                                                             (-) 18,0 тыс. рублей - уменьшен объем бюджетных ассигнований на ремонт и содержание площадей и скверов;                                                                                                                                      (-) 4,0 тыс. рублей - уменьшен объем бюджетных ассигнований на противопаводковые мероприятия.</t>
  </si>
  <si>
    <t xml:space="preserve">(-) 1 400,0 тыс. рублей - уменьшен объем бюджетных ассигнований по обеспечению стабильной, благополучной эпизоологической обстановки и защита населения от болезней,  общих для человека и животных;                                                                                                                 (-) 20,0 тыс. рублей - уменьшен объем бюджетных ассигнований на содержание кладбища;                  (-) 45,4 тыс. рублей - уменьшен объем бюджетных ассигнований на закупку и посадку насаждений;                                                                                                                                             (-) 18,0 тыс. рублей - уменьшен объем бюджетных ассигнований на ремонт и содержание площадей и скверов;                                                                                                                                      (-) 4,0 тыс. рублей - уменьшен объем бюджетных ассигнований на противопаводковые мероприятия;                                                                                                                                             (+) 20,0 тыс. рублей - увеличен объем бюджетных ассигнований на проведение санитарно-гигиенической экспертизы по объекту "Строительство объекта "Городское кладбище" </t>
  </si>
  <si>
    <t>(-) 418,9 тыс. рублей - уменьшен объем бюджетных ассигнований на предоставление транспортных услуг по перевозке пассажиров на маршрутной сети;</t>
  </si>
  <si>
    <t>(+) 15 307,8 тыс. рублей – увеличен объем целевых межбюджетных трансфертов на строительство (реконструкцию), капитальный ремонт и ремонт автомобильных дорог общего пользования местного значения (строительство дороги к пристани (проспект Победы)), (средства бюджета автономного округа);
(+) 805,7 тыс. рублей - увеличен объем бюджетных ассигнований на строительство (реконструкцию), капитальный ремонт и ремонт автомобильных дорог общего пользования местного значения (строительство дороги к пристани (проспект Победы) (доля софинансирования);
(-) 8 500,0 тыс. рублей - уменьшен объем бюджетных ассигнований на ПИРы по устройству ливневых канализаций в г.Мегионе;
(-) 4 386,9 тыс. рублей - уменьшен объем бюджетных ассигнований на капитальный ремонт и ремонт автомобильных дорог и внутриквартальных проездов;
(-) 850,4 тыс. рублей - уменьшен объем бюджетных ассигнований на ремонт автомобильной дороги по ул.Советская в пгт Высокий;
(+) 24 513,7 - увеличен объем бюджетных ассигнований на ремонт внутриквартальных проездов и площадок 6 микрорайона;                                                                                                       (-) 510,0 тыс. рублей - уменьшен объем бюджетных ассигнований на устранение нарушений, выявленных контрольно-надзорными органами на улично-дорожной сети;</t>
  </si>
  <si>
    <t>(+) 15 307,8 тыс. рублей – увеличен объем целевых межбюджетных трансфертов на строительство (реконструкцию), капитальный ремонт и ремонт автомобильных дорог общего пользования местного значения (строительство дороги к пристани (проспект Победы)), (средства бюджета автономного округа);
(+) 805,7 тыс. рублей - увеличен объем бюджетных ассигнований на строительство (реконструкцию), капитальный ремонт и ремонт автомобильных дорог общего пользования местного значения (строительство дороги к пристани (проспект Победы) (доля софинансирования);
(-) 8 500,0 тыс. рублей - уменьшен объем бюджетных ассигнований на ПИРы по устройству ливневых канализаций в г.Мегионе;
(-) 4 386,9 тыс. рублей - уменьшен объем бюджетных ассигнований на капитальный ремонт и ремонт автомобильных дорог и внутриквартальных проездов;
(-) 850,4 тыс. рублей - уменьшен объем бюджетных ассигнований на ремонт автомобильной дороги по ул.Советская в пгт Высокий;
(+) 24 513,7 - увеличен объем бюджетных ассигнований на ремонт внутриквартальных проездов и площадок 6 микрорайона;                                                                                                     (-) 418,9 тыс. рублей - уменьшен объем бюджетных ассигнований на предоставление транспортных услуг по перевозке пассажиров на маршрутной сети;                                                      (-) 510,0 тыс. рублей - уменьшен объем бюджетных ассигнований на устранение нарушений, выявленных контрольно-надзорными органами на улично-дорожной сети;</t>
  </si>
  <si>
    <t xml:space="preserve">(-) 3 861,9 тыс. рублей -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№5-ФЗ "О ветеранах" (средства бюджета автономного округа);
(+) 1 693,7 тыс. рублей - увеличен объем целевых межбюджетных трансфертов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бюджета автономного округа);                                                                                             </t>
  </si>
  <si>
    <t>(-) 90,0 тыс. рублей - уменьшен объем бюджетных ассигнований для приобретения и установки пожарных гидрантов;
(-) 200,0 тыс. рублей - уменьшен объем бюджетных ассигнований в связи с проведением оптимизации расходов бюджета города в 2018 году</t>
  </si>
  <si>
    <t>(+) 82,3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9,2 тыс. рублей - увеличен объем бюджетных ассигнований путем перераспределения для выполнения программных мероприятий;
(-) 90,0 тыс. рублей - уменьшен объем бюджетных ассигнований для приобретения и установки пожарных гидрантов;
(-) 200,0 тыс. рублей - уменьшен объем бюджетных ассигнований в связи с проведением оптимизации расходов бюджета города в 2018 году</t>
  </si>
  <si>
    <t>(+) 123,1 тыс. рублей - увеличен объем бюджетных ассигнований на осуществление полномочий по государственному управлению охраной труда (средства бюджета автономного округа);
(-) 2,0 тыс. рублей - уменьшен объем бюджетных ассигнований в связи с проведением оптимизации расходов бюджета города в 2018 году</t>
  </si>
  <si>
    <t xml:space="preserve">(-) 9,4 тыс. рублей - уменьшен объем бюджетных ассигнований в связи с проведением оптимизации расходов бюджета города в 2018 году </t>
  </si>
  <si>
    <t>(+) 123,1 тыс. рублей - увеличен объем бюджетных ассигнований на осуществление полномочий по государственному управлению охраной труда (средства бюджета автономного округа);
(-) 11,6 тыс. рублей - уменьшен объем бюджетных ассигнований в связи с проведением оптимизации расходов бюджета города в 2018 году</t>
  </si>
  <si>
    <t>(-) 1 500,0 тыс. рублей - уменьшен объем бюджетных ассигнований в связи с проведением оптимизации расходов бюджета города в 2018 году</t>
  </si>
  <si>
    <t xml:space="preserve">(+)71,0 тыс.рублей - увеличен объем бюджетных ассигнований для реализации мероприятий в области образования и молодежной политики путем перераспределения (средства местного бюджета);
(-) 6 905,1 тыс.рублей уменьшен объем бюджетных ассигнований (местный бюджет); 
(-) 296,0 тыс. рублей - уменьшен объем бюджетных ассигнований в связи с проведением оптимизации расходов бюджета города в 2018 году                                                             </t>
  </si>
  <si>
    <t>(-) 1 620,0 тыс. рублей - уменьшен объем бюджетных ассигнований в результате сложившейся экономии по заключенным контрактам;
(+) 627,7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175,9 тыс. рублей - увеличен объем бюджетных ассигнований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местного бюджета);                                                                  
(-) 1 819,1 тыс. рублей - уменьшен объем бюджетных ассигнований в связи с проведением оптимизации расходов бюджета города в 2018 году</t>
  </si>
  <si>
    <t>(-) 5 620,0 тыс. рублей - уменьшен объем бюджетных ассигнований в результате сложившейся экономии по заключенным контрактам;
(+) 6 054,0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1 696,8 тыс. рублей - увеличен объем бюджетных ассигнований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местного бюджета);                                                                  
(-) 1 819,1 тыс. рублей - уменьшен объем бюджетных ассигнований в связи с проведением оптимизации расходов бюджета города в 2018 году;
(+) 114,9 тыс. рублей - увеличен объем бюджетных ассигнований на оплату исполнительных листов;                     
(+) 100,0 тыс. рублей - увеличен объем бюджетных ассигнований на оплату административного штрафа;                                                                                           
(-) 737,0 тыс. рублей - уменьшен объем бюджетных ассигнований на содержание МКУ "ДЭИ"</t>
  </si>
  <si>
    <t>(-) 400,0 тыс. рублей - уменьшен объем бюджетных ассигнований резервного фонда администрации города</t>
  </si>
  <si>
    <t xml:space="preserve">(+) 1 000,0 тыс. рублей - увеличен объем бюджетных средств на социальные выплаты гражданам, пострадавшим в результате пожара;
(+) 1 600,0 тыс. рублей - увеличен объем бюджетных средств на оплату исполнительного сбора                                                                 </t>
  </si>
  <si>
    <t>(+) 30,0 тыс. рублей - увеличен объем бюджетных ассигнований путем перераспределения (средства местного бюджета);
(+) 600,0 тыс. рублей - увеличен объем целевых межбюджетных трансфертов на реализацию наказов избирателей (средства бюджета автономного округа);
(+) 194,5 тыс. рублей- увеличен объем бюджетных ассигнований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690,0 тыс.рублей - увеличен объем бюджетных ассигнований (благотворительное пожертвование ООО "Корпорация СТС");                                                                                                                                                                                                                                                                                   
(-) 1 226,2 тыс.руб.  -   уменьшен объем бюджетных ассигнований в связи с проведением оптимизации расходов бюджета города в 2018 году .</t>
  </si>
  <si>
    <t>(+) 246,0 тыс. рублей - увеличен объем целевых межбюджетных трансфертов на реализацию наказов избирателей (средства бюджета автономного округа);
(-) 187,7 тыс. рублей- уменьшен объем бюджетных ассигнований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1596,3тыс.рублей  -  уменьшен объем бюджетных ассигнований в связи с проведением оптимизации расходов бюджета города в 2018 году .</t>
  </si>
  <si>
    <t xml:space="preserve">(-) 34,8 тыс. рублей - уменьшен объем бюджетных ассигнований путем перераспределения (средства местного бюджета);
(-) 130,0 тыс. рублей- уменьшен объем бюджетных ассигнований путем перераспределения;
(-) 247,7 уменьшен объем бюджетных ассигнований путем перераспределения;
(+) 9 655,6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
  (+) 4759,7  тыс. рублей - увеличен объем иных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и на достижение целевого показателя по Указу Президента(средства местного бюджета);                                          (-) 100,0 тыс. рублей - уменьшен объем бюджетных ассигнований в связи с проведением оптимизации расходов бюджета города в 2018 году;                                </t>
  </si>
  <si>
    <t>(+) 134,7 тыс.рублей - увеличен объем бюджетных ассигнований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296,0 тыс. рублей - 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187,7 тыс. рублей- уменьшен объем бюджетных ассигнований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(-)1596,3 тыс.рублей  -  уменьшен объем бюджетных ассигнований в связи с проведением оптимизации расходов бюджета города в 2018 году</t>
  </si>
  <si>
    <t xml:space="preserve">(-) 412,5 тыс. рублей - уменьшен объем бюджетных ассигнований путем перераспределения (средства местного бюджета);
(+) 9 655,6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4759,7  тыс. рублей - увеличен объем иных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и на достижение целевого показателя по Указу Президента(средства местного бюджета);
(-) 100,0 тыс. рублей - уменьшен объем бюджетных ассигнований в связи с проведением оптимизации расходов бюджета города в 2018 году </t>
  </si>
  <si>
    <t>(+) 225,0 тыс. рублей - увеличен объем целевых межбюджетных трансфертов, направленный победителям конкурсов в сфере организации мероприятий по профилактике незаконного потребления наркотических средств и психотропных веществ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90,0 тыс. рублей - уменьшен объем бюджетных ассигнований в связи с проведением оптимизации расходов бюджета города в 2018 году.</t>
  </si>
  <si>
    <t>(+) 225,0 тыс. рублей - увеличен объем целевых межбюджетных трансфертов, направленный победителям конкурсов в сфере организации мероприятий по профилактике незаконного потребления наркотических средств и психотропных веществ (средства бюджета автономного округа)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90,0 тыс. рублей - уменьшен объем бюджетных ассигнований в связи с проведением оптимизации расходов бюджета города в 2018 году.</t>
  </si>
  <si>
    <t xml:space="preserve">(-) 3 000,0 тыс.рублей -уменьшен объем бюджетных ассигнований в связи с проведением оптимизации расходов бюджета города в 2018 году </t>
  </si>
  <si>
    <t>(-) 200,0 тыс. рублей - уменьшен объем бюджетных ассигнований в связи с проведением оптимизации расходов бюджета города в 2018 году</t>
  </si>
  <si>
    <t>(+) 200,0 тыс. рублей - увеличен объем бюджетных ассигнований на проведение комплексных мероприятий (сооружение пандусов).</t>
  </si>
  <si>
    <t>(+) 15 581,2 тыс. рублей - увеличен объем бюджетных ассигнований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 (доля софинансирования);
(+) 8 927,2 тыс. рублей - увеличен объем бюджетных ассигнований для выкупа жилых помещений</t>
  </si>
  <si>
    <t xml:space="preserve">(+) 15 581,2 тыс. рублей - увеличен объем бюджетных ассигнований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 (доля софинансирования);
(+) 8 927,2 тыс. рублей - увеличен объем бюджетных ассигнований для выкупа жилых помещений;
(-) 42 477,6 тыс. рублей - уменьшен объем целевых межбюджетных трансфертов на строительство участка тепловых сетей 2д800мм от УТ-4 до ул.50 лет Октября с переходом ул.Заречная, 2Д700мм от ул.50 лет Октября;
(+) 119,3 тыс. рублей - увеличен объем бюджетных ассигнований на электроснабжение земельных участков под ИЖД пгт.Высокий;
(-) 14 159,2 тыс. рублей - уменьшен объем бюджетных ассигнований на строительство участка тепловых сетей2д800мм от УТ-4 до ул.50 лет Октября с переходом ул.Заречная, 2Д700мм от ул.50 лет Октября (доля софинансирования)
</t>
  </si>
  <si>
    <t>(+) 60,6 тыс. рублей - увеличен объем бюджетных ассигнований на  обеспечение деятельности департамента социальной политики администрации города;                                   (-) 1 403,7 тыс. рублей- уменьшен объем бюджетных ассигнований в связи с проведением оптимизации расходов бюджета города в 2018 году .</t>
  </si>
  <si>
    <t xml:space="preserve">(+) 60,0 тыс. рублей - увеличен объем бюджетных ассигнований для приобретения компьютерной техники для контрольно-счетной палата города Мегиона;
(+) 600,0 тыс. рублей - увеличен объем целевых межбюджетных трансфертов на реализацию наказов избирателей (средства бюджета автономного округа);                                              (-) 375,5 тыс. рублей - уменьшен объем бюджетных ассигнований в целях оптимизации расходов бюджета
</t>
  </si>
  <si>
    <t xml:space="preserve">(+) 60,6 тыс. рублей - увеличен объем бюджетных ассигнований на обеспечение деятельности департамента социальной политики администрации города;
(-) 3 664,5 тыс. рублей- уменьшен объем бюджетных ассигнований в связи с проведением оптимизации расходов бюджета города в 2018 году;
(-) 20,0 тыс.рублей - уменьшен объем бюджетных ассигнований путем перераспределения (средства местного бюджета);
(-) 2,5 тыс. рублей - уменьшен объем целевых межбюджетных трансфертов на организацию и проведение единого государственного экзамена (средства бюджета автономного округа);
(+) 1 573,4 тыс. рублей - увеличен объем целевых межбюджетных трансфертов на реализацию наказов избирателей (средства бюджета автономного округа);
(+) 37 106,8 тыс. рублей увеличен объем целевых межбюджетных трансфертов для обеспечения государственных гарантий на получение образования и осуществления переданных отдельных полномочий в области образования (средства автономного округа);
(+) 155,0 тыс. рублей - увеличен объем целевых бюджетных ассигнований на приобретение снегоуборочной машины для МБОУ «СОШ №6» (средства резервного фонда Правительства Тюменской области);
(+) 10 364,6 тыс. 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(-) 51,0 тыс.рублей - уменьшен объем бюджетных ассигнований путем перераспределения (средства местного бюджета);
(+) 350,0 тыс.рублей- увеличен объем целевых бюджетных ассигнований на приобретение светового оборудования  для МБОУ "СОШ №4"  (средства резервного фонда Правительства Тюменской области);
(+) 737,0 тыс. рублей - увеличен объем бюджетных ассигнований на содержание МАДОУ ДС №14 "Умка";
 (+) 87,0 тыс. рублей- увеличен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</si>
  <si>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87,0 тыс. рублей- увеличен объем целевых межбюджетных трансфертов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образования;                                                                                                                  (+) 4 189,6 тыс.рублей-увеличен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1342,6 тыс.рублей   - уменьшен объем бюджетных ассигнований в связи с проведением оптимизации расходов бюджета города в 2018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</si>
  <si>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(+)1 300,0 тыс. рублей - увеличен объем бюджетных ассигнований для оплаты кредиторской задолженности МАУ ДО "Юность" (средства местного бюджета);                       (+) 123 296,8 тыс.рублей - увеличен объем целевых межбюджетных трансфертов на строительство спортивного центра с универсальным игровым залом и плоскостными спортивными сооружениями;                           (-) 1 473,4 тыс. рублей - уменьшен объем бюджетных ассигнований (средства местного бюджета);                           (-) 810,0 тыс. рублей - уменьшен объем бюджетных ассигнований (средства местного бюджета);                     (+) 6 489,3 тыс. рублей -увеличен объем бюджетных ассигнований;                         (-) 906,8 тыс. рублей- уменьшен объем бюджетных ассигнований в связи с проведением оптимизации расходов бюджета города в 2018 году .          </t>
  </si>
  <si>
    <t xml:space="preserve">(-) 429,8 тыс.рублей - уменьшен объем бюджетных ассигнований в связи с проведением оптимизации расходов бюджета города в 2018 году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</si>
  <si>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(+)1 300,0 тыс. рублей - увеличен объем бюджетных ассигнований для оплаты кредиторской задолженности МАУ ДО "Юность" (средства местного бюджета);                                                                                                                                                                                                             (+) 123 296,8 тыс.рублей - увеличен объем целевых межбюджетных трансфертов на строительство спортивного центра с универсальным игровым залом и плоскостными спортивными сооружениями;                                                                                                                     (-) 1 473,4 тыс. рублей - уменьшен объем бюджетных ассигнований по объекту ремонт СК"Финский"(средства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810,0 тыс. рублей - уменьшен объем бюджетных ассигнований по объекту ремонт СК "Колизей"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(+) 6 489,3 тыс. рублей -увеличен объем бюджетных ассигнований на долю софинансирования к строительству объекта  спортивного центра с универсальным игровым залом и плоскостными спортивными сооружениями;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364,4 тыс. рублей- уменьшен объем бюджетных ассигнований в связи с проведением оптимизации расходов бюджета города в 2018 году ;                                                                                                                                                                                                                                            (+)10,0 тыс.рублей - увеличен объем бюджетных ассигнований путем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5 652,8 тыс.рублей-увеличен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                                                                                 (+)1916,0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и на достижение целевого показателя по Указу Президента(средства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(-)3 603,5 тыс рублей- уменьшен объем бюджетных ассигнований в связи с проведением оптимизации расходов бюджета города в 2018 году .</t>
  </si>
  <si>
    <t>(+) 224,5 тыс. рублей - увеличен объем бюджетных ассигнований путем перераспределения (средства местного бюджета);
(+) 600,0 тыс. рублей -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(-)1363,4 тыс.рублей - уменьшен объем бюджетных ассигнований в связи с проведением оптимизации расходов бюджета города в 2018 году ;                                                                                                                                                                                                                                                            (+) 690,0 тыс.рублей - увеличен объем бюджетных ассигнований (благотворительное пожертвование ООО "Корпорация СТС" на подготовку и проведение концертной программы, посвященной празднованию Дня города Мегиона).</t>
  </si>
  <si>
    <t>Решение Думы города Мегиона от 22.06.2018 №277 (уточненный бюджет)                                                      (тыс. рублей)</t>
  </si>
  <si>
    <t>приложение</t>
  </si>
  <si>
    <t>(+) 2 500,0 тыс. рублей -увеличен объем бюджетных ассигнований  благотворительных пожертвований ОАО "СН- МНГ" (средства местного бюджета);                                                                (+) 6 440,0 тыс. рублей- увеличен объем бюджетных ассигнований на организацию и обеспечение отдыха и оздоровления детей, в том числе в этнической среде (средства окружного бюджета);</t>
  </si>
  <si>
    <t>(+) 5,7 тыс. рублей - увеличен объем бюджетных ассигнований на осуществление отдельных полномочий ХМАО – Югры по организации деятельности по обращению с твердыми коммунальными отходами (средства автономного округа)</t>
  </si>
  <si>
    <t>(+) 211,5 тыс. рублей - увеличен объем бюджетных ассигнований на государственную регистрацию актов гражданского состояния (ЗАГС-средства федерального бюджета);
(-) 125,4 тыс. рублей -уменьшен объем бюджетных ассигнований по обеспечению  дополнительных гарантий прав на жилое помещение детей-сирот и детей оставшихся без попечения родителей , лиц  из числа детей-сирот и детей, оставшихся без попечения родителей (в части администрирования) (средства автономного округа);</t>
  </si>
  <si>
    <t>основное мероприятие "Обеспечение выполнения полномочий и функций Департамента образования и молодежной политики администрации города в установленных сферах деятельности"</t>
  </si>
  <si>
    <t>основное мероприятие "Обеспечение деятельности департамента образования и молодежной политики администрации города"</t>
  </si>
  <si>
    <t xml:space="preserve">(-) 414,9 тыс. рублей -уменьшен объем бюджетных ассигнований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ХМАО-Югры по социально ориентированным тарифам и сжиженного газа по социально ориентированным розничным ценам (средства автономного округа);         </t>
  </si>
  <si>
    <t xml:space="preserve">(-) 1,5 тыс.рублей – уменьшен объем целевых межбюджетных трансфертов на осуществление полномочий по обеспечению жильем отдельных категорий граждан </t>
  </si>
  <si>
    <t xml:space="preserve">(+) 1 000,0 тыс. рублей -увеличен объем бюджетных ассигнований путем внутреннего перераспределения для приобретения домиков этнообразования (средства местного бюджета);                                                                                                                                             (+) 77,6 тыс. рублей -увеличен объем бюджетных ассигнований путем внутреннего перераспределения для реализации мероприятий в области культуры (средства местного бюджета);                                                                                                                                                       (+) 479,6 тыс. рублей – увеличен объем бюджетных ассигнований на реализацию наказов избирателей на изготовление и монтаж одежды сцены МАУ «Театр музыки» (средства бюджета автономного округа);                                                                                                                      (-) 73,5 тыс. рублей-уменьшен объем бюджетных ассигнований путем внутреннего перераспределения (средства местного бюджета);       </t>
  </si>
  <si>
    <t>(-) 14,2 тыс.рублей - уменьшен объем бюджетных ассигнований по строительству мемориального комплекса "Аллея славы" (средства местного бюджета);</t>
  </si>
  <si>
    <t>(+)10,0 тыс.рублей - увеличен объем бюджетных ассигнований путем перераспределения (средства местного бюджета);                                                                                               (+) 5 652,8 тыс.рублей-увеличен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                                                                                 (+)1916,0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и на достижение целевого показателя по указу Президента (средства местного бюджета);   (-) 61,1 тыс рублей- уменьшен объем бюджетных ассигнований в связи с проведением оптимизации расходов бюджета города в 2018 году .</t>
  </si>
  <si>
    <t xml:space="preserve">(-) 1 300,0 тыс. рублей - уменьшен объем бюджетных ассигнований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10,0 тыс.рублей - уменьшен объем бюджетных ассигнований для оплаты командировочных расходов путем перераспределения (средства местного бюджета);                                                                                    (+) 200,0 тыс. рублей - увеличен объем целевых межбюджетных трансфертов на реализацию наказов избирателей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255,3 тыс. рублей -уменьшен объем бюджетных ассигнований в связи с проведением оптимизации расходов бюджета города в 2018 году ;                                                                                                                                                                                                                                                 (+) 129,0 тыс. рублей - увеличен объем целевых межбюджетных трансфертов на софинансирование расходов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на приобретение экипировки и инвентаря МБУ "Спорт-Альтаир" (остаток средств резервного фонда Правительства Тюменской области на 01.01.2017);
(+) 32,0 тыс. рублей - увеличен объем бюджетных ассигнований на приобретение спортивного оборудования, экипировки, инвентаря и участие в учебно-тренировочных мероприятиях по художественной гимнастике МБУ «Спорт-Альтаир» (остаток средств резервного фонда Правительства Тюменской области на 01.01.2017).
</t>
  </si>
  <si>
    <t>(-) 1 300,0 тыс. рублей - уменьшен объем бюджетных ассигнований (средства местного бюджета);                                (-) 10,0 тыс.рублей - уменьшен объем бюджетных ассигнований для оплаты командировочных расходов путем перераспределения (средства местного бюджета);                                                                                    (+) 200,0 тыс. рублей - увеличен объем целевых межбюджетных трансфертов на реализацию наказов избирателей (средства бюджета автономного округа); (-) 255,3 тыс. рублей -уменьшен объем бюджетных ассигнований в связи с проведением оптимизации расходов бюджета города в 2018 году .</t>
  </si>
  <si>
    <t xml:space="preserve">(-) 99,0 тыс. рублей уменьшен объем бюджетных ассигнований путем перераспределения (средства местного бюджета);                                                                                     (+) 60,0 тыс. рублей - увеличен объем бюджетных ассигнований для приобретения компьютерной техники для контрольно-счетной палата города Мегиона;      (-) 375,5 тыс.рублей - уменьшен объем бюджетных ассигнований в связи с  оптимизацией расходов   бюджета.                               </t>
  </si>
  <si>
    <t xml:space="preserve">(+) 600,0 тыс. рублей - увеличен объем целевых межбюджетных трансфертов на реализацию наказов избирателей (средства бюджета автономного округа); (+)99,0 тыс. рублей увеличен объем бюджетных ассигнований путем перераспределения (средства местного бюджета).                                            </t>
  </si>
  <si>
    <t>(-) 20,0 тыс.рублей - уменьшен объем бюджетных ассигнований путем перераспределения (средства местного бюджета);                                                                                    (-) 2,5 тыс. рублей - уменьшен объем целевых межбюджетных трансфертов на организацию и проведение единого государственного экзамена (средства бюджета автономного округа);                                                                                                                                                                                                             (+) 1 573,4 тыс. рублей - увеличен объем целевых межбюджетных трансфертов на реализацию наказов избирателей (средства бюджета автономного округа);                     (+) 37 106,8 тыс. рублей увеличен объем целевых межбюджетных трансфертов для обеспечения государственных гарантий на получение образования и осуществления переданных отдельных полномочий в области образования (средства автономного округа);                 (+) 155,0 тыс. рублей - увеличен объем целевых бюджетных ассигнований на приобретение снегоуборочной машины для МБОУ «СОШ №6» (средства резервного фонда Правительства Тюменской области);      (+) 6 175,0 тыс.рублей - увеличен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                          (-) 51,0 тыс.рублей - уменьшен объем бюджетных ассигнований путем перераспределения (средства местного бюджета);                                                                                   (+) 350,0 тыс.рублей- увеличен объем целевых бюджетных ассигнований на приобретение светового оборудования  для МБОУ "СОШ №4"  (средства резервного фонда Правительства Тюменской области);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918,2 тыс.рублей -  уменьшен объем бюджетных ассигнований в связи с проведением оптимизации расходов бюджета города в 2018 году;                                                                                                                                                                                                                                                     (+) 737,0 тыс.рублей - увеличен объем бюджетных ассигнований  на содержание МАДОУ ДС №14 "Умка"</t>
  </si>
  <si>
    <t xml:space="preserve">(+) 20,0 тыс.рублей - увеличен объем бюджетных ассигнований для реализации мероприятий в области образования и молодежной политики путем перераспределения (средства местного бюджета);
(-) 6 905,1 тыс.рублей уменьшен объем бюджетных ассигнований (местный бюджет);
(-) 296,0 тыс. рублей - уменьшен объем бюджетных ассигнований в связи с проведением оптимизации расходов бюджета города в 2018 году;                                                           </t>
  </si>
  <si>
    <t xml:space="preserve">(+) 51,0 тыс.рублей - увеличен объем бюджетных ассигнований для реализации мероприятий в области образования и молодежной политики путем перераспределения (средства местного бюджета). 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</si>
  <si>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</si>
  <si>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сертификата персонифицированного финансирования дополнительного образования детей"</t>
  </si>
  <si>
    <t xml:space="preserve"> (+) 1 000,0 тыс. рублей - увеличен объем бюджетных ассигнований для развития дополнительного образования детей в сфере "Образование" с использованием механизма персонифицированного финансирования </t>
  </si>
  <si>
    <t xml:space="preserve">(+) 100,0 тыс. рублей - увеличен объем бюджетных ассигнований из средств резервного фонда Правительства Тюменской области (средства местного бюджета);                                                                                                                                                                                                                (-) 30,0 тыс. рублей -уменьшен объем бюджетных ассигнований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(+) 214,2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(+) 23,8 тыс. рублей- увеличен объем бюджетных ассигнований на оплату налогов (средства местного бюджета);                                                                                                                                      (+) 130,0 тыс. рублей- увеличен объем бюджетных ассигнований для оплаты административного штрафа путем перераспределения (средства местного бюджета);                 (+) 1 707,8 тыс.рублей- 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(средства местного бюджета).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</si>
  <si>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18,1 тыс рублей увеличен объем бюджетных ассигнований для реализации мероприятий для организации и проведения спортивных мероприятий путем перераспределения (средства местного бюджета).</t>
  </si>
  <si>
    <t>(-) 168,1 тыс рублей уменьшен объем бюджетных ассигнований  путем перераспределения (средства местного бюджета).</t>
  </si>
  <si>
    <t xml:space="preserve">(+) 38,0 тыс. рублей -увеличен объем бюджетных ассигнований путем внутреннего перераспределения (средства местного бюджета);                                                                                    (+) 73,5 тыс. рублей-увеличен объем бюджетных ассигнований путем внутреннего перераспределения для реализации мероприятий в области культуры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(+)270,0 тыс.рублей - увеличен объем бюджетных ассигнований для реализации мероприятий в области культуры;                                                                                                                                                                                                                                                                                                           (+)450,0 тыс.рублей  - увеличен объем бюджетных ассигнований для реализации мероприятий в области культуры на приобретение новогодних подарков </t>
  </si>
  <si>
    <t xml:space="preserve">(+) 22,2 тыс. рублей -увеличен объем бюджетных ассигнований путем внутреннего перераспределения (средства местного бюджета)  </t>
  </si>
  <si>
    <t xml:space="preserve">(+) 14 737,2 тыс. рублей увеличен объем бюджетных ассигнований для обеспечения государственных гарантий на получение образования и осуществления,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48,8 тыс. рублей - увеличен объем бюджетных ассигнований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путем перераспределения(средства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340,0 тыс. рублей -уменьшен объем иных межбюджетных ассигнований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путем внутреннего перераспределения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250,0 тыс. рублей - увеличен объем бюджетных ассигнований  путем внутреннего перераспределения на реализацию мероприятий в области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(+)1 115,9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4 202,4 тыс. рублей - 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учреждений образования;                                                                (+) 1 273,6 тыс. рублей - увеличен объем бюджетных ассигнований за счет   дополнительных доходов бюджета городского округа на оплату стоимости проезда и провоза багажа к месту использования отпуска и обратно работникам учреждений образования;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1 157,3 тыс. рублей - увеличен объем бюджетных ассигнований за счет   дополнительных доходов бюджета городского округа на оплату налогов за 3 квартал 2018 года;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767,7 тыс. рублей -уменьшен объем бюджетных ассигнований путем внутреннего перераспределения (средства местного бюджета);         </t>
  </si>
  <si>
    <t>(-) 4 000,0 тыс. рублей - уменьшен объем бюджетных ассигнований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48,8 тыс. рублей - уменьшен объем бюджетных ассигнований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путем перераспределения(средства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1 330,1 тыс. рублей - уменьшен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99,5 тыс. рублей -увеличен объем бюджетных ассигнований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(+) 1 741,1 тыс. рублей - 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МАУ "КОПУСС";                                                                             (+) 2 363,7 тыс. рублей - увеличен объем бюджетных ассигнований за счет   дополнительных доходов бюджета городского округа на выплату выходного пособия, среднемесячного заработка на период трудоустройства работникам МАУ "КОПУСС";                             (+) 577,5 тыс. рублей -   увеличен объем бюджетных ассигнований на выплату заработной платы и начисления на оплату труда работникам МКУ "Центр развития образования" путем перераспределения (-)233,5 тыс. рублей</t>
  </si>
  <si>
    <t xml:space="preserve">(-) 10,6 тыс. рублей -уменьшен объем бюджетных ассигнований на реализацию мероприятий в области охраны труда </t>
  </si>
  <si>
    <t>(-) 78,7 тыс. рублей -уменьшен объем бюджетных ассигнований по выплате заработной платы и начислений на заработную плату (средства местного бюджета);                                            (+) 39,2 тыс. рублей -увеличен объем иных межбюджетных трансфертов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путем внутреннего перераспределения (средства автономного округа);                                                                                                                             (+) 333,6 тыс. рублей -увеличен объем бюджетных ассигнований на оплату стоимости проезда и провоза багажа к месту использования отпуска и обратно МКУ "ЦБ" (средства местного бюджета)</t>
  </si>
  <si>
    <t xml:space="preserve">(+) 2 924,6 тыс. рублей -увеличен объем бюджетных ассигнований на выплату заработной платы и начислений на заработную плату, путем перераспределения </t>
  </si>
  <si>
    <t>(-) 0,5 тыс. рублей -уменьшен объем бюджетных ассигнований путем перераспределения для выполнения программных мероприятий.</t>
  </si>
  <si>
    <t>(-) 200,0 тыс. рублей -уменьшен объем бюджетных ассигнований путем перераспределения для выполнения программных мероприятий;                                                                                          (+) 156,8 тыс рублей - увеличен объем бюджетных ассигнований на оплату стоимости проезда и провоза багажа к месту использования отпуска и обратно.</t>
  </si>
  <si>
    <t>(+) 225,3 тыс рублей - увеличен объем бюджетных ассигнований путем перераспределения на ремонт входной группы административного здания ЗАГС по ул.Строителей, 2/6.</t>
  </si>
  <si>
    <t>(-) 200,5 тыс. рублей -уменьшен объем бюджетных ассигнований путем перераспределения для выполнения программных мероприятий;                                                                                          (+) 156,8 тыс рублей - увеличен объем бюджетных ассигнований на оплату стоимости проезда и провоза багажа к месту использования отпуска и обратно;                                                  (+) 225,3 тыс рублей - увеличен объем бюджетных ассигнований путем перераспределения на ремонт входной группы административного здания ЗАГС по ул.Строителей, 2/6.</t>
  </si>
  <si>
    <t xml:space="preserve">(+) 343,0 тыс. рублей - увеличен объем бюджетных ассигнований на выплату заработной платы и начисления на оплату труда работникам учреждений за счет перераспределения (средства местного бюджета;                                                                                                                 (-) 223,7 тыс. рублей - уменьшен объем бюджетных ассигнований по оплате стоимости проезда и провоза багажа к месту использования отпуска и обратно(средства местного бюджета);   </t>
  </si>
  <si>
    <t>(-) 18,4 тыс. рублей -уменьшен объем бюджетных ассигнований по обеспечению жильем молодых семей - в соответствии с ФЦП "Жилище"</t>
  </si>
  <si>
    <t xml:space="preserve">(+) 6 774,8 тыс. рублей - увеличен объем бюджетных ассигнований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автономного округа);
(+) 1 776,3 тыс. рублей - увеличен объем бюджетных ассигнований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(средства федерального бюджета);                                                                (+) 1 269,7 тыс. рублей - увеличен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№5-ФЗ "О ветеранах" (средства федерального бюджета)                                                                                    </t>
  </si>
  <si>
    <t xml:space="preserve">(+) 127 299,8 тыс. рублей - увеличен объем бюджетных ассигнований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 (средства автономного округа);                     (+) 170,9 тыс. рублей - увеличен объем бюджетных ассигнований на выкуп жилых помещений </t>
  </si>
  <si>
    <t xml:space="preserve">(+) 35,3 тыс. рублей -увеличен объем бюджетных ассигнований на строительство участка тепловых сетей2д800мм от УТ-4 до ул.50 лет Октября с переходом ул.Заречная, 2Д700мм от ул.50 лет Октября (авторский надзор) </t>
  </si>
  <si>
    <t>(+) 100 000,0 тыс. рублей - увеличен целевых межбюджетных трансфертов на реализацию полномочий в области строительства, градостроительной деятельности и жилищных отношений (средства автономного округа);                                                                                           (+) 12 359,6 тыс. рублей - увеличен объем целевых межбюджетных трансфертов на реализацию полномочий в области строительства, градостроительной деятельности и жилищных отношений (доля софинансирования);                                                                             (-) 152,5 тыс.рублей - уменьшен объем бюджетных ассигнований по приобретению жилых помещений для формирования наемного дома социального использования.</t>
  </si>
  <si>
    <t>(-) 164,8 тыс.рублей - уменьшен объем бюджетных ассигнований на устранение нарушений, выявленных контрольно-надзорными органами на улично-дорожной сети городского округа город Мегион</t>
  </si>
  <si>
    <t>(-) 69,5 тыс.рублей - уменьшен объем бюджетных ассигнований на предоставление транспортных услуг по перевозке пассажиров на маршрутной сети городского округа город Мегион</t>
  </si>
  <si>
    <t>(-) 164,8 тыс.рублей - уменьшен объем бюджетных ассигнований на устранение нарушений, выявленных контрольно-надзорными органами на улично-дорожной сети городского округа город Мегион;                                                                                                                                               (-) 69,5 тыс.рублей - уменьшен объем бюджетных ассигнований на предоставление транспортных услуг по перевозке пассажиров на маршрутной сети городского округа город Мегион</t>
  </si>
  <si>
    <t xml:space="preserve">(+) 30 000,0 тыс. 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     </t>
  </si>
  <si>
    <t xml:space="preserve">(+) 30 000,0 тыс. 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      </t>
  </si>
  <si>
    <t>(+) 9,3 тыс. рублей - увеличен объем бюджетных ассигнований на обеспечение стабильной, благополучной эпизоологической обстановки и защита населения от болезней,  общих для человека и животных (средства автономного округа);                                                                          (-) 12,7 тыс.рублей - уменьшен объем бюджетных ассигнований по обеспечению стабильной, благополучной эпизоологической обстановки и защита населения от болезней,  общих для человека и животных</t>
  </si>
  <si>
    <t>(-) 300,0 тыс. рублей -уменьшен объем бюджетных ассигнований на перемещение и хранение транспортных средств;                                                                                                                         (-) 79,7 тыс. рублей -уменьшен объем бюджетных ассигнований по ремонту и установке нового игрового оборудования на детских игровых площадок;                                                                                                                          (+) 4 700,0 тыс. рублей - увеличен объем бюджетных ассигнований на подготовку объектов к новогодним мероприятиям</t>
  </si>
  <si>
    <t>(-) 8,9 тыс.рублей - уменьшен объем бюджетных ассигнований по строительству объекта "Городское кладбище"</t>
  </si>
  <si>
    <t xml:space="preserve">(+) 5 074,3 тыс. рублей - увеличен объем целевых межбюджетных трансфертов на реализацию полномочий в сфере жилищно-коммунального комплекса (средства автономного округа);                                                                                                                                                      (-) 1 155,0 тыс.рублей - уменьшен объем бюджетных ассигнований по капитальному ремонту (с заменой) систем газораспределения, теплоснабжения, водоснабжения и водоотведения;                                                                                                                                      (-) 283,5 тыс.рублей - уменьшен объем бюджетных ассигнований  на приобретение, установку, ремонт и обслуживание пожарных гидрантов в жилых кварталах;                                                                                                                                          (-) 161,8 тыс.рублей  -уменьшен объем бюджетных ассигнований  на корректировку (актуализацию) программы комплексного развития систем коммунальной инфраструктуры городского округа город Мегион </t>
  </si>
  <si>
    <t>(+) 3 100,0 тыс. рублей - увеличен объем бюджетных ассигнований на предоставление субсидии в целях компенсации выпадающих доходов организациям, предоставляющим населению услуги ЖКХ (вывоз жидких бытовых отходов)</t>
  </si>
  <si>
    <t>(-) 27,4 тыс.рублей - уменьшен объем бюджетных ассигнований по оснащению индивидуальными и общедомовыми приборами учета энергоресурсов жилого фонда;</t>
  </si>
  <si>
    <t>(-) 27,4 тыс.рублей - уменьшен объем бюджетных ассигнований по оснащению индивидуальными и общедомовыми приборами учета энергоресурсов жилого фонда</t>
  </si>
  <si>
    <t xml:space="preserve">(+) 200,0 тыс.рублей - увеличен объем бюджетных ассигнований на обеспечение условий доступности для инвалидов общего имущества в многоквартирном доме (пост. Прав.РФ от 09.07.2016 №649), путем внутреннего перераспределения </t>
  </si>
  <si>
    <t xml:space="preserve">(-) 425,3 тыс.рублей - уменьшен объем бюджетных ассигнований по обеспечению доступной среда для маломобильных групп населения </t>
  </si>
  <si>
    <t>(+) 670,0 тыс. рублей - увеличен объем бюджетных ассигнований на поверку камер фото- и видеофиксации нарушений правил дорожного движения</t>
  </si>
  <si>
    <t>(-) 325,7 тыс. рублей -уменьшен объем иных межбюджетных трансфертов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(+) 399,3 тыс.рублей - увеличен объем бюджетных ассигнований на уплату налога на имущество МКУ "МФЦ"</t>
  </si>
  <si>
    <t>(-) 14,2 тыс.рублей - уменьшен объем бюджетных ассигнований по строительству мемориального комплекса "Аллея славы" (средства местного бюджета)</t>
  </si>
  <si>
    <t>(+) 1 099,2 тыс. рублей - увеличен объем бюджетных ассигнований на  начисления на оплату труда в связи с увеличением предельной базы для начисления страховых взносов, увеличение фонда оплаты в связи с увеличением размера должностных окладов на 4%</t>
  </si>
  <si>
    <t>(+) 1 292,8 тыс. рублей - увеличен объем бюджетных ассигнований на увеличение фонда оплату труда в связи с увеличением размера должностных окладов на 4%;                                                          (+) 10,0 тыс.рублей - увеличен объем бюджетных ассигнований на оплату компенсации расходов на оплату стоимости проезда и провоза багажа к месту использования отпуска и обратно</t>
  </si>
  <si>
    <t>(+) 9,3 тыс. рублей - увеличен объем бюджетных ассигнований на обеспечение стабильной, благополучной эпизоологической обстановки и защита населения от болезней,  общих для человека и животных (средства автономного округа);                                                                          (-) 12,7 тыс.рублей - уменьшен объем бюджетных ассигнований по обеспечению стабильной, благополучной эпизоологической обстановки и защита населения от болезней,  общих для человека и животных;                                                                                                                               (-) 300,0 тыс. рублей -уменьшен объем бюджетных ассигнований на перемещение и хранение транспортных средств;                                                                                                                         (-) 79,7 тыс. рублей -уменьшен объем бюджетных ассигнований по ремонту и установке нового игрового оборудования на детских игровых площадок;                                                                                                                          (+) 4 700,0 тыс. рублей - увеличен объем бюджетных ассигнований на подготовку объектов к новогодним мероприятиям;                                                                                                                   (-) 8,9 тыс.рублей - уменьшен объем бюджетных ассигнований по строительству объекта "Городское кладбище";                                                                                                                             (+) 1 155,0 тыс. рублей - увеличен объем бюджетных ассигнований на предоставление субсидии, в форме грантов победителям конкурса поддержки местных инициатив путем внутреннего перераспределения</t>
  </si>
  <si>
    <t>(+) 1 155,0 тыс. рублей - увеличен объем бюджетных ассигнований на предоставление субсидии, в форме грантов победителям конкурса поддержки местных инициатив путем внутреннего перераспределения</t>
  </si>
  <si>
    <t>(-) 926,6 тыс. рублей -  уменьшен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100,0 тыс. рублей - увеличен объем бюджетных ассигнований по льготному проезду ОМС;
(-) 117,8 тыс. рублей - уменьшен объем бюджетных ассигнований на обеспечение деятельности администрации города; 
(+) 3 829,8 тыс. рублей - увеличен объем бюджетных ассигнований на заработную плату и начислений на заработную плату;                                                                                                             (+) 40,0 тыс.рублей - увеличен объем бюджетных ассигнований на командировочные расходы;                                                                                                                                                          (+) 211,5 тыс. рублей - увеличен объем бюджетных ассигнований на государственную регистрацию актов гражданского состояния (ЗАГС-средства федерального бюджета);
(-) 125,4 тыс. рублей -уменьшен объем бюджетных ассигнований по обеспечению  дополнительных гарантий прав на жилое помещение детей-сирот и детей оставшихся без попечения родителей , лиц  из числа детей-сирот и детей, оставшихся без попечения родителей (в части администрирования) (средства автономного округа)</t>
  </si>
  <si>
    <t>(-) 926,6 тыс. рублей -  уменьшен объем иных межбюджетных трансфертов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
(+) 100,0 тыс. рублей - увеличен объем бюджетных ассигнований по льготному проезду ОМС;
(-) 117,8 тыс. рублей - уменьшен объем бюджетных ассигнований на обеспечение деятельности администрации города; 
(+) 3 829,8 тыс. рублей - увеличен объем бюджетных ассигнований на заработную плату и начислений на заработную плату;                                                                                                             (+) 40,0 тыс.рублей - увеличен объем бюджетных ассигнований на командировочные расходы</t>
  </si>
  <si>
    <t>(+) 960,0 тыс. рублей - увеличен объем бюджетных ассигнований на выплату пенсии за выслугу лет;                                                                                                                                                  (+) 2 212,4 тыс. рублей - увеличен объем бюджетных ассигнований на исполнение решения суда по выплате возмещения за изымаемые жилые помещения;                                                             (+) 200,5 тыс. рублей - увеличен объем бюджетных ассигнований на оплату исполнительских сборов</t>
  </si>
  <si>
    <t xml:space="preserve">(+) 1 765,4,0 тыс. рублей - увеличен объем бюджетных ассигнований на выплату заработной платы и начисления на оплату труда работникам учреждений  за счет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  увеличен объем бюджетных ассигнований за счет   дополнительных доходов бюджета городского округа на приобретение компьютерной техники    </t>
  </si>
  <si>
    <t xml:space="preserve">(+) 3 007,2 тыс. рублей - увеличен объем бюджетных ассигнований иных межбюджетных трансфертов на реализацию наказов избирателей депутатам Думы ХМАО-Югры (средства автономного бюджета);                                                                                                                               (-) 23,6 тыс. рублей -уменьшен объем бюджетных ассигнований путем внутреннего перераспределения (средства местного бюджета);                                                                          (+) 1 600,0 тыс. рублей -увеличен объем иных межбюджетных ассигнований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путем внутреннего перераспределения (средства автономного округа);                                                                                                                               (-) 48,5 тыс.рублей- уменьшен объем бюджетных ассигнований путем внутреннего перераспределения (средства местного бюджета);
(+) 6 152,6 тыс. рублей- увеличен объем целевых межбюджетных трансфертов 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РФ от 01.06.12 №761(средства автономного округа);                                                                                                       (+) 850,4 тыс.рублей- увеличен объем бюджетных ассигнований путем внутреннего перераспределения для оплаты компенсации расходов на оплату стоимости проезда и провоза багажа к месту использования отпуска и обратно(средства местного бюджета);              (+) 1 892,4 тыс.рублей - увеличен объем бюджетных ассигнований на выплату заработной платы и начислений на выплаты по оплате труда (средства местного бюджета).                </t>
  </si>
  <si>
    <t xml:space="preserve">(+) 2 500,0 тыс. рублей -увеличен объем бюджетных ассигнований  благотворительных пожертвований ОАО "СН- МНГ" (средства местного бюджета);                                                                (+) 6 440,0 тыс. рублей- увеличен объем бюджетных ассигнований на организацию и обеспечение отдыха и оздоровления детей, в том числе в этнической среде (средства окружного бюджета);                                                                                                                                   (+) 100,0 тыс. рублей - увеличен объем бюджетных ассигнований из средств резервного фонда Правительства Тюменской области (средства местного бюджета);                                                                                                                                            (+) 23,8 тыс. рублей- увеличен объем бюджетных ассигнований за счет   дополнительных доходов бюджета городского округа на оплату налогов за 3 квартал 2018 года (средства местного бюджета);                                                                                                                                     (+) 214,2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                                                                                                               (+) 130,0 тыс. рублей- увеличен объем бюджетных ассигнований для оплаты административного штрафа путем перераспределения (средства местного бюджета);                 (+) 1 707,8 тыс.рублей- увеличен объем бюджетных ассигнований на выплату заработной платы и начисления на оплату труда работникам за счет перераспределения (средства местного бюджета);                                                                                                                                    (-) 30,0 тыс. рублей -уменьшен объем бюджетных ассигнований путем внутреннего перераспределения (средства местного бюджета).                                                         </t>
  </si>
  <si>
    <t xml:space="preserve">(+) 12,4 тыс. рублей -увеличен объем бюджетных ассигнований на ремонт радиостанции;                    (-) 0,7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(+) 401,9 тыс. рублей -увеличен объем бюджетных ассигнований на     приобретение техники для проведения видеоконференций                                            </t>
  </si>
  <si>
    <t xml:space="preserve">(+) 10,0 тыс. рублей -увеличен объем бюджетных ассигнований на монтаж блока управления сиреной;                                                                                                                                                            (-) 63,2 тыс. рублей - уменьшен объем бюджетных ассигнований за счет экономии, сложившейся по результатам проведенных аукционов, котировок           </t>
  </si>
  <si>
    <t xml:space="preserve">(+) 10,0 тыс. рублей -увеличен объем бюджетных ассигнований на монтаж блока управления сиреной;                                                                                                                                                            (-) 63,2 тыс. рублей - уменьшен объем бюджетных ассигнований за счет экономии, сложившейся по результатам проведенных аукционов, котировок     </t>
  </si>
  <si>
    <t xml:space="preserve">(-) 172,8 тыс. рублей -  уменьшен объем бюджетных ассигнований за счет экономии, сложившейся по результатам проведенных аукционов, котировок                            </t>
  </si>
  <si>
    <t xml:space="preserve">(+) 12,1 тыс. рублей -увеличен объем бюджетных ассигнований на  техническое обслуживание пожарной сигнализации;                                                                                                    (+) 1,8 тыс. рублей -увеличен объем бюджетных ассигнований на приобретение счетчиков холодного и горячего водоснабжения;                                                                                                     (+) 61,0 тыс. рублей -увеличен объем бюджетных ассигнований на оплату налога на имущество;                                                                                                                                               (+) 1 244,2 тыс. рублей -увеличен объем бюджетных ассигнований на выплату заработной платы и начислений на заработную плату;                                                                                              (-) 374,4 тыс. рублей - уменьшен объем бюджетных ассигнований за счет экономии, сложившейся по результатам проведенных аукционов, котировок </t>
  </si>
  <si>
    <t xml:space="preserve">(+) 12,1 тыс. рублей -увеличен объем бюджетных ассигнований на  техническое обслуживание пожарной сигнализации;                                                                                                    (+) 1,8 тыс. рублей -увеличен объем бюджетных ассигнований на приобретение счетчиков холодного и горячего водоснабжения;                                                                                                     (+) 61,0 тыс. рублей -увеличен объем бюджетных ассигнований на оплату налога на имущество;                                                                                                                                               (+) 1 244,2 тыс. рублей -увеличен объем бюджетных ассигнований на выплату заработной платы и начислений на заработную плату;                                                                                        (-) 201,6 тыс. рублей - уменьшен объем бюджетных ассигнований за счет экономии, сложившейся по результатам проведенных аукционов, котировок </t>
  </si>
  <si>
    <t xml:space="preserve">(+) 2 617,2 тыс.рублей - увеличен объем бюджетных ассигнований на заработную плату и начислений на заработную плату;                                                                                                              (+) 317,8 тыс.рублей - увеличен объем бюджетных ассигнований на оплату исполнительных листов; </t>
  </si>
  <si>
    <t xml:space="preserve">(+) 500,0 тыс. рублей - увеличен объем бюджетных ассигнований на оплату административного штрафа;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52,7 тыс. рублей - увеличен объем бюджетных ассигнований на оплату судебных издержек;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4 013,1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339,8 тыс. рублей - уменьшен объем бюджетных ассигнований путем внутреннего перераспределения для оплаты компенсации расходов на оплату стоимости проезда и провоза багажа к месту использования отпуска и обратно(средства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258,7 тыс. рублей - увеличен объем бюджетных ассигнований за счет   дополнительных доходов бюджета городского округа на оплату налогов за 3 квартал 2018 года;                                          (+) 23,6 тыс.рублей -  увеличен объем бюджетных ассигнований на содержание техники (трактора), МКУ "ДЭИ";                                                                                                                        (+) 1 779,9 тыс.рублей - увеличен объем бюджетных ассигнований на заработную плату и начислений на заработную плату, МКУ "КС"                              </t>
  </si>
  <si>
    <t>(+) 38,0 тыс. рублей -увеличен объем бюджетных  (средства местного бюджета);                                                                                    (+) 73,5 тыс. рублей-увеличен объем бюджетных ассигнований  для реализации мероприятий в области культуры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(+)270,0 тыс.рублей - увеличен объем бюджетных ассигнований для реализации мероприятий в области культуры;                                                                                                                                                                                                                                                                                                           (+)450,0 тыс.рублей  - увеличен объем бюджетных ассигнований на приобретение новогодних подарков для талантливых, одаренных детей</t>
  </si>
  <si>
    <t xml:space="preserve">(+) 343,0 тыс. рублей - увеличен объем бюджетных ассигнований  на выплату заработной платы и начисления на оплату труда работникам учреждений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223,7 тыс. рублей - уменьшен объем бюджетных ассигнований  для оплаты компенсации расходов на оплату стоимости проезда и провоза багажа к месту использования отпуска и обратно(средства местного бюджета);   </t>
  </si>
  <si>
    <t xml:space="preserve">(+) 3 007,2 тыс. рублей - увеличен объем бюджетных ассигнований иных межбюджетных трансфертов на реализацию наказов избирателей депутатам Думы ХМАО-Югры (средства автономного бюджета);                                                                                                                                                         (+) 1 600,0 тыс. рублей -увеличен объем иных межбюджетных ассигнований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 (средства автономного округа);                                                                                                                                  (+) 6 152,6 тыс. рублей- увеличен объем целевых межбюджетных трансфертов 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РФ от 01.06.12 №761(средства автономного округа);                                                                                                      (+) 850,4 тыс.рублей- увеличен объем бюджетных ассигнований  для оплаты компенсации расходов на оплату стоимости проезда и провоза багажа к месту использования отпуска и обратно(средства местного бюджета);                                                                                           (+) 1 892,4 тыс.рублей - увеличен объем бюджетных ассигнований за счет дополнительных доходов бюджета городского округа на выплату заработной платы и начисления на оплату труда работникам учреждений (средства местного бюджета).                                                                                    (-) 23,6 тыс. рублей -уменьшен объем бюджетных ассигнований в МКУ "ДЭИ" в целях содержания переданного имущества (средства местного бюджета);                                                                                                                                       (+) 150,0 тыс рублей увеличен объем бюджетных ассигнований для реализации мероприятий по комплексной безопасности  (средства местного бюджета);                                                   (+) 623,5 тыс.рублей- увеличен объем бюджетных ассигнований на строительство объекта "Спортивный центр с универсальным игровым залом и плоскостными спортивными сооружениями" (местный бюджет);                                                                                                                                                     (-) 89,0 - уменьшен объем бюджетных ассигнований по объекту по ремонту фасада здания СК "Колизей" (местный бюджет).                                                                                         </t>
  </si>
  <si>
    <t xml:space="preserve">(-) 150,0 тыс. рублей уменьшен объем бюджетных ассигнований  </t>
  </si>
  <si>
    <t xml:space="preserve">(+) 2 924,6 тыс. рублей -увеличен объем бюджетных ассигнований на выплату заработной платы и начислений на заработную плату;                                                                                                (-) 78,7 тыс. рублей -уменьшен объем бюджетных ассигнований по выплате заработной платы и начислений на заработную плату (средства местного бюджета);                                            (+) 39,2 тыс. рублей -увеличен объем иных межбюджетных трансфертов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путем внутреннего перераспределения (средства автономного округа);                                                                                                                             (+) 333,6 тыс. рублей -увеличен объем бюджетных ассигнований на оплату стоимости проезда и провоза багажа к месту использования отпуска и обратно МКУ "ЦБ" (средства местного бюджета) </t>
  </si>
  <si>
    <t>(+) 22,2 тыс. рублей -увеличен объем бюджетных ассигнований  (средства местного бюджета);                                                                                                                                                                (+) 1 000,0 тыс. рублей -увеличен объем бюджетных ассигнований  для приобретения домиков этнообразования (средства местного бюджета);                                                                                                                                                  (+) 77,6 тыс. рублей -увеличен объем бюджетных ассигнований для реализации мероприятий в области культуры (средства местного бюджета);                                                                                                                                                       (+) 479,6 тыс. рублей – увеличен объем бюджетных ассигнований на реализацию наказов избирателей на изготовление и монтаж одежды сцены МАУ «Театр музыки» (средства бюджета автономного округа);                                                                                                                      (-) 73,5 тыс. рублей-уменьшен объем бюджетных ассигнований (средства местного бюджета)</t>
  </si>
  <si>
    <t>(-) 425,3 тыс.рублей - уменьшен объем бюджетных ассигнований по обеспечению доступной среда для маломобильных групп населения;                                                                                         (+) 200,0 тыс.рублей - увеличен объем бюджетных ассигнований на обеспечение условий доступности для инвалидов общего имущества в многоквартирном доме (пост. Прав.РФ от 09.07.2016 №649)</t>
  </si>
  <si>
    <r>
      <t>(-) 4 060,0 тыс. рублей -уменьшен объем иных межбюджетных ассигнований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путем внутреннего перераспределения (средства автономного округа);                                                                                    (-) 137,8 тыс. рублей -уменьшен объем бюджетных ассигнований путем внутреннего перераспределения (средства местного бюджета);                                                                                                                     (+) 26 533,0 тыс. рублей - увеличен объем целевых межбюджетных трансфертов на частичное обеспечение повышения оплаты труда работников муниципальных учреждений культуры в целях реализации Указа Президента РФ от 07.05.2012 №597 (средства бюджета автономного округа);                                                                                                                                      (+) 1 957,6 тыс. рублей увеличен объем целевых межбюджетных трансфертов 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РФ от 01.06.12 №761(средства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866,9 тыс.рублей  - увеличен объем бюджетных ассигнований за счет   дополнительных доходов бюджета городского округа на оплату стоимости проезда и провоза багажа к месту использования отпуска и обратно работникам учреждений дополнительного образования детей;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16 160,9 тыс.рублей</t>
    </r>
    <r>
      <rPr>
        <sz val="10"/>
        <color rgb="FFFF000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приведение в соответствие доли софинансирования средств местного бюджета;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(+)59,4 тыс.руб. - увеличен объем бюджетных ассигнований за счет   дополнительных доходов бюджета городского округа на оплату налогов за 3 квартал 2018 года;                                                                                                                                                                                                          (+)1258,7 тыс.руб. -увеличен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учреждений дополнительного образования детей; </t>
    </r>
  </si>
  <si>
    <r>
      <t xml:space="preserve">(+) 48,5 тыс.рублей- увеличен объем бюджетных ассигнований путем внутреннего перераспределения (средства местного бюджета);                                                                        </t>
    </r>
    <r>
      <rPr>
        <sz val="10"/>
        <color rgb="FFFF0000"/>
        <rFont val="Arial"/>
        <family val="2"/>
        <charset val="204"/>
      </rPr>
      <t xml:space="preserve">            </t>
    </r>
    <r>
      <rPr>
        <sz val="10"/>
        <rFont val="Arial"/>
        <family val="2"/>
        <charset val="204"/>
      </rPr>
      <t xml:space="preserve">                                       (+) 150,0 тыс рублей увеличен объем бюджетных ассигнований для реализации мероприятий по комплексной безопасности путем перераспределения (средства местного бюджета);                        (+) 623,5 тыс.рублей- увеличен объем бюджетных ассигнований на строительство объекта "Спортивный центр с универсальным игровым залом и плоскостными спортивными сооружениями" (местный бюджет);                                                                                                                                                     (-) 89,0 тыс.рублей - уменьшен объем бюджетных ассигнований путем внутреннего перераспределения со средств по ремонту фасада здания СК "Колизей" (местный бюджет).</t>
    </r>
  </si>
  <si>
    <r>
      <t xml:space="preserve">(+) 1 765,4,0 тыс. рублей - увеличен объем бюджетных ассигнований  на выплату заработной платы и начисления на оплату труда работникам учреждений (средства местного бюджета);                           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 </t>
    </r>
    <r>
      <rPr>
        <sz val="10"/>
        <rFont val="Arial"/>
        <family val="2"/>
        <charset val="204"/>
      </rPr>
      <t xml:space="preserve"> увеличен объем бюджетных ассигнований за счет   дополнительных доходов бюджета городского округа на приобретение компьютерной техники</t>
    </r>
  </si>
  <si>
    <r>
      <t xml:space="preserve">(-) 4 509,5 тыс. рублей -уменьшен объем бюджетных ассигнований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(+) 300,4 тыс. рублей- увеличен объем бюджетных ассигнований путем внутреннего перераспределения для выплаты заработной платы и начислений по заработной плате (средства местного бюджета);              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</t>
    </r>
  </si>
  <si>
    <r>
      <t>(-) 4 060,0 тыс. рублей -уменьшен объем иных межбюджетных ассигнований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137,8 тыс. рублей -уменьшен объем бюджетных ассигнований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26 533,0 тыс. рублей - увеличен объем целевых межбюджетных трансфертов на частичное обеспечение повышения оплаты труда работников муниципальных учреждений культуры в целях реализации Указа Президента РФ от 07.05.2012 №597 (средства бюджета автономного округа);                                                                                                                                      (+) 1 957,6 тыс. рублей увеличен объем целевых межбюджетных трансфертов 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РФ от 01.06.12 №761(средства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866,9 тыс.рублей  - увеличен объем бюджетных ассигнований за счет   дополнительных доходов бюджета городского округа на оплату стоимости проезда и провоза багажа к месту использования отпуска и обратно работникам учреждений дополнительного образования детей;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16 160,9 тыс.рублей</t>
    </r>
    <r>
      <rPr>
        <sz val="10"/>
        <color rgb="FFFF000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приведение в соответствие доли софинансирования средств местного бюджета;   </t>
    </r>
    <r>
      <rPr>
        <sz val="10"/>
        <color rgb="FFFF000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  <charset val="204"/>
      </rPr>
      <t xml:space="preserve">(+)59,4 тыс.руб. - увеличен объем бюджетных ассигнований за счет   дополнительных доходов бюджета городского округа на оплату налогов за 3 квартал 2018 года;                                                                                                                                                                                                          (+)1 258,7 тыс.руб. -увеличен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учреждений дополнительного образования детей; </t>
    </r>
  </si>
  <si>
    <t>(+) 12,4 тыс. рублей -увеличен объем бюджетных ассигнований на ремонт радиостанции;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0,7 тыс. рублей - уменьшен объем бюджетных ассигнований за счет экономии, сложившейся по результатам проведенных аукционов, котировок;                                                                                                                                                                                                                                                     (+) 401,9 тыс. рублей -увеличен объем бюджетных ассигнований на     приобретение техники для проведения видеоконференций</t>
  </si>
  <si>
    <t xml:space="preserve">(+) 6 774,8 тыс. рублей - увеличен объем бюджетных ассигнований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автономного округа);
(+) 1 776,3 тыс. рублей - увеличен объем бюджетных ассигнований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(средства федерального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1 269,7 тыс. рублей - увеличен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№5-ФЗ "О ветеранах" (средства федерального бюджета);                                                                                                                             (-) 1,5 тыс.рублей – уменьшен объем целевых межбюджетных трансфертов на осуществление полномочий по обеспечению жильем отдельных категорий граждан </t>
  </si>
  <si>
    <t xml:space="preserve">(+) 127 299,8 тыс. рублей - увеличен объем бюджетных ассигнований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170,9 тыс. рублей - увеличен объем бюджетных ассигнований на выкуп жилых помещений;                                                                                                                                             (+) 35,3 тыс. рублей -увеличен объем бюджетных ассигнований на строительство участка тепловых сетей2д800мм от УТ-4 до ул.50 лет Октября с переходом ул.Заречная, 2Д700мм от ул.50 лет Октября (авторский надзор)  </t>
  </si>
  <si>
    <t xml:space="preserve">(+) 5 074,3 тыс. рублей - увеличен объем целевых межбюджетных трансфертов на реализацию полномочий в сфере жилищно-коммунального комплекса (средства автономного округа);                                                                                                                                                      (-) 1 155,0 тыс.рублей - уменьшен объем бюджетных ассигнований по капитальному ремонту (с заменой) систем газораспределения, теплоснабжения, водоснабжения и водоотведения;                                                                                                                                                                        (-) 283,5 тыс.рублей - уменьшен объем бюджетных ассигнований  на приобретение, установку, ремонт и обслуживание пожарных гидрантов в жилых кварталах;                                                                                                                                                                                                                               (-) 161,8 тыс.рублей  -уменьшен объем бюджетных ассигнований  на корректировку (актуализацию) программы комплексного развития систем коммунальной инфраструктуры городского округа город Мегион;                                                                                                              (+) 3 100,0 тыс. рублей - увеличен объем бюджетных ассигнований на предоставление субсидии в целях компенсации выпадающих доходов организациям, предоставляющим населению услуги ЖКХ (вывоз жидких бытовых отходов);                                                                                                                                             (-) 414,9 тыс. рублей -уменьшен объем бюджетных ассигнований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ХМАО-Югры по социально ориентированным тарифам и сжиженного газа по социально ориентированным розничным ценам (средства автономного округа)         </t>
  </si>
  <si>
    <t xml:space="preserve">(+) 14 737,2 тыс. рублей увеличен объем бюджетных ассигнований для обеспечения государственных гарантий на получение образования и осуществления,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4 000,0 тыс. рублей - уменьшен объем бюджетных ассигнований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4 202,4 тыс. рублей - 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учреждений образования;                                                                    (+) 0,2 тыс.рублей- увеличен объем бюджетных ассигнований на выплату заработной платы и начисления на оплату труда работникам за счет перераспределения (средства местного бюджета);                                                                                                                                                      (+) 1 741,1 тыс. рублей - увеличен объем бюджетных ассигнований за счет   дополнительных доходов бюджета городского округа на выплату заработной платы и начисления на оплату труда работникам МАУ "КОПУСС";                                                                             (+) 2 363,5 тыс. рублей - увеличен объем бюджетных ассигнований за счет   дополнительных доходов бюджета городского округа на выплату выходного пособия, среднемесячного заработка на период трудоустройства работникам МАУ "КОПУСС";                                                                                                                                   (+) 1 273,6 тыс. рублей - увеличен объем бюджетных ассигнований за счет   дополнительных доходов бюджета городского округа на оплату стоимости проезда и провоза багажа к месту использования отпуска и обратно работникам учреждений образования;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1 157,3 тыс. рублей - увеличен объем бюджетных ассигнований за счет   дополнительных доходов бюджета городского округа на оплату налогов за 3 квартал 2018 года;                                                                                                                                                                                             (+) 577,5 тыс. рублей -   увеличен объем бюджетных ассигнований на выплату заработной платы и начисления на оплату труда работникам МКУ "Центр развития образования" путем перераспределения                                                                                                                                                                                                  (+) 250,0 тыс. рублей - увеличен объем бюджетных ассигнований  на реализацию мероприятий в области образования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900,0 тыс. рублей -уменьшен объем бюджетных ассигнований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554,2 тыс. рублей - уменьшен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4 509,5 тыс. рублей -уменьшен объем бюджетных ассигнований путем внутреннего перераспределения на обеспечение функций органов местного самоуправления(средства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(+) 300,4 тыс. рублей- увеличен объем бюджетных ассигнований путем внутреннего перераспределения для выплаты заработной платы и начислений по заработной плате на обеспечение функций органов местного самоуправления(средства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</si>
  <si>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(-) 325,7 тыс. рублей -уменьшен объем иных межбюджетных трансфертов за счет средств Резервного фонда Правительства ХМАО-Югры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399,3 тыс.рублей - увеличен объем бюджетных ассигнований на уплату налога на имущество МКУ "МФЦ"</t>
  </si>
  <si>
    <t>(+) 2 617,2 тыс.рублей - увеличен объем бюджетных ассигнований на заработную плату и начислений на заработную плату;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317,8 тыс.рублей - увеличен объем бюджетных ассигнований на оплату исполнительных листов;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500,0 тыс. рублей - увеличен объем бюджетных ассигнований на оплату административного штрафа;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52,7 тыс. рублей - увеличен объем бюджетных ассигнований на оплату судебных издержек;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4 013,1 тыс. рублей - увеличен объем бюджетных ассигнований на финансовое обеспечение непредвиденных расходов, связанных с выплатами заработной платы на уровне не ниже установленного минимального размера оплаты труда (средства бюджета автономного округа)  путем перераспределения;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339,8 тыс. рублей - уменьшен объем бюджетных ассигнований путем внутреннего перераспределения для оплаты компенсации расходов на оплату стоимости проезда и провоза багажа к месту использования отпуска и обратно(средства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258,7 тыс. рублей - увеличен объем бюджетных ассигнований за счет   дополнительных доходов бюджета городского округа на оплату налогов за 3 квартал 2018 года;                                                                                                                                                                                                          (+) 23,6 тыс.рублей -  увеличен объем бюджетных ассигнований на содержание техники (трактора), МКУ "ДЭИ";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1 779,9 тыс.рублей - увеличен объем бюджетных ассигнований на заработную плату и начислений на заработную плату, МКУ "КС"</t>
  </si>
  <si>
    <t xml:space="preserve">(-) 480,1 тыс.рублей уменьшен объем бюджетных ассигнований на реализацию мероприятий по содействию трудоустройству граждан (средства автономного округа);                                                                                                                                                                                                                           (+) 2500,0 тыс. рублей - увеличен объем целевых межбюджетных трансфертов на реализацию мероприятия по повышению эффективности использования и развитию ресурсного потенциала рыбохозяйственного комплекса;                                                                       (+) 1500,0 тыс. рублей - увеличен объем целевых межбюджетных трансфертов на реализацию мероприятия по поддержке животноводства, переработки и реализации продукции животноводства;  </t>
  </si>
  <si>
    <t>подпрограмма  "Адресная программа  по ликвидации и расселению строений, приспособленных для проживания, расположенных на территории городского округа город Мегион"</t>
  </si>
  <si>
    <t>Решение Думы города Мегиона от 26.10.2018 №300 (тыс.рублей)</t>
  </si>
  <si>
    <t>приложение  2</t>
  </si>
  <si>
    <t>основное мероприятие "Расходы на обеспечение деятельности (оказание услуг) муниципальными учреждениями"</t>
  </si>
  <si>
    <t xml:space="preserve"> (-) 88,2 тыс. рублей - уменьшен объем бюджетных ассигнований в связи с выводом штатных единиц из учреждений физической культуры и спорта</t>
  </si>
  <si>
    <t>(+) 165,0 тыс. рублей - увеличен объем бюджетных ассигнований на реализацию мероприятий по проведению смотров-конкурсов в сфере физической культуры и спорта (средства бюджета автономного округа);                                                                                                                       (+) 321,4 тыс. рублей - увеличен объем бюджетных ассигнований для приобретения спортивной экипировки и инвентаря МБУ ДО  "Вымпел"</t>
  </si>
  <si>
    <t>(-) 750,0 тыс. рублей - уменьшен объем бюджетных ассигнований на проведение программных мероприятий</t>
  </si>
  <si>
    <t xml:space="preserve">(-) 888,2 тыс. рублей –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Федерации»;
(-) 2 616,6 тыс. рублей - 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ветеранах».
</t>
  </si>
  <si>
    <t>(+) 245 842,7 тыс. рублей -увеличен объем бюджетных ассигнований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 (средства окружного бюджета 218 800,0 тыс.рублей,  средства местного бюджета 27 042,7 тыс.рублей-доля софинансирования);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12 338,4 тыс. рублей - уменьшен объем бюджетных ассигнований по приобретению  жилья, в целях приобретение жилых помещений для формирования наемного дома социального использования (средства окружного бюджета 12 337,9 тыс.рублей,  средства местного бюджета 0,5 тыс.рублей).</t>
  </si>
  <si>
    <t>(+) 14 362,8 тыс. рублей - увеличен объем бюджетных ассигнований на приобретение жилых помещений для формирования наемного дома социального использования (средства окружного бюджета 12 783,0 тыс.рублей,  средства местного бюджета 1 579,8 тыс.рублей).</t>
  </si>
  <si>
    <t>(+) 88,2 тыс.рублей -  увеличен объем бюджетных ассигнований в связи с вводом штатных единиц в МКУ "Служба обеспечения" из учреждений физической культуры и спорта.</t>
  </si>
  <si>
    <t>(+) 300,0 тыс.рублей - увеличен объем бюджетных ассигнований на оплату исполнительных листов</t>
  </si>
  <si>
    <t xml:space="preserve">(-) 300,0 тыс.рублей - уменьшен объем бюджетных ассигнований по резервному фонду </t>
  </si>
  <si>
    <t>(-) 165,3 тыс.рублей - уменьшен объем бюджетных ассигнований по обеспечению условий доступности для инвалидов общего имущества в многоквартирном доме.</t>
  </si>
  <si>
    <t>(-) 112,4 тыс.рублей - уменьшен объем бюджетных ассигнований по обеспечению доступной среда для маломобильных групп населения.</t>
  </si>
  <si>
    <t>(-) 888,2 тыс. рублей –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Федерации»;
(-) 2 616,6 тыс. рублей -  уменьшен объем бюджетных ассигнований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ветеранах».</t>
  </si>
  <si>
    <t>(-) 500,1 тыс.рублей - уменьшен объем бюджетных ассигнований по градостроительной деятельности, в целях приобретения жилых помещений для формирования наемного дома социального использования (средства окружного бюджета 445,1 тыс.рублей,  средства местного бюджета 55,0 тыс.рублей);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277,7 тыс.рублей - увеличен объем бюджетных ассигнований на градостроительную деятельность (средства местного бюджета)</t>
  </si>
  <si>
    <t>(+) 4 984,0 тыс. рублей - увеличен объем целевых межбюджетных трансфертов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 (средства бюджета автономного округа)</t>
  </si>
  <si>
    <t>(-) 1 524,3 тыс.рублей - уменьшен объем бюджетных ассигнований по обслуживанию муниципального внутреннего долга по привлеченным кредитам в связи с экономией объема бюджетных средств</t>
  </si>
  <si>
    <t>(-) 112,4 тыс.рублей - уменьшен объем бюджетных ассигнований по обеспечению доступной среды для маломобильных групп населения (экономия по итогам проведенных конкурсных процедур по заключению муниципальных контрактов);                                                                                                                                                                                                                                                      (-) 165,3 тыс.рублей - уменьшен объем бюджетных ассигнований по обеспечению условий доступности для инвалидов общего имущества в многоквартирном доме(экономия по итогам проведенных конкурсных процедур по заключению муниципальных контрактов)</t>
  </si>
  <si>
    <t>(-) 500,1 тыс.рублей - уменьшен объем бюджетных ассигнований по градостроительной деятельности, в целях приобретения жилых помещений для формирования наемного дома социального использования (средства окружного бюджета 445,1 тыс.рублей,  средства местного бюджета 55,0 тыс.рублей (перераспределение единой субсидии из бюджета ХМАО-Югры 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277,7 тыс.рублей - увеличен объем бюджетных ассигнований на градостроительную деятельность (средства местного бюджета)</t>
  </si>
  <si>
    <t>(-) 750,0 тыс. рублей - уменьшен объем бюджетных ассигнований на экономию по заключенным договорам</t>
  </si>
  <si>
    <t>(+) 750,0 тыс. рублей - увеличен объем бюджетных ассигнований на проведение программных мероприятий по антитеррорестической защищенности объектов, относящихся к сфере  образования</t>
  </si>
  <si>
    <t>(+) 2 094,6 тыс. рублей - увеличен объем целевых межбюджетных трансфертов на повышение эффективности использования и развитие ресурсного потенциала рыбохозяйственного комплекса (средства бюджета автономного округа);                                       (-) 716,7 тыс. рублей - уменьшен объем целевых межбюджетных трансфертов на поддержку животноводства, переработки и реализации продукции животноводства (средства бюджета автономного округа).</t>
  </si>
  <si>
    <t>Решение Думы города Мегиона от 12.11.2018 №308 (уточненный бюджет)                                                      (тыс. рублей)</t>
  </si>
  <si>
    <t>(+) 11 592,7 тыс. рублей - увеличен объем бюджетных ассигнований на приобретение жилых помещений для формирования наемного дома социального использования (средства окружного бюджета 10 317,5 тыс.рублей,  средства местного бюджета 1 275,2 тыс.рублей).</t>
  </si>
  <si>
    <t>(-) 37,0 тыс. рублей -уменьшен объем бюджетных ассигнований путем внутреннего перераспределения (средства местного бюджета).</t>
  </si>
  <si>
    <t>(+) 37,0 тыс. рублей -увеличен объем бюджетных ассигнований путем внутреннего перераспределения (средства местного бюджета).</t>
  </si>
  <si>
    <t>(+) 57 750,0 тыс.рублей - увеличен объем бюджетных ассигнований в целях обеспечения доли софинансирования к целевым межбюджетным трансфертам из бюджета автономного округа для предоставления субсидий гражданам, проживающим в строениях, временно приспособленных для проживания (ликвидация и расселение балочных массивов) (средства местного бюджета)</t>
  </si>
  <si>
    <t>(+) 29 800,0 тыс.рублей - увеличен объем бюджетных ассигнований на 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 (средства местного бюджета)</t>
  </si>
  <si>
    <t xml:space="preserve">(-) 600,0 тыс.рублей - уменьшен объем бюджетных ассигнований по резервному фонду </t>
  </si>
  <si>
    <t>(-) 6,2 тыс.рублей - уменьшен объем бюджетных ассигнований в результате экономии бюджетных средств (средства местного бюджета)</t>
  </si>
  <si>
    <t>(-) 89,0 тыс. рублей - уменьшен объем бюджетных ассигнований по обеспечению деятельности Департаментом муниципальной собственности администрации города (средства местного бюджета)</t>
  </si>
  <si>
    <t>(-) 11 831,7 тыс. рублей - уменьшен объем бюджетных ассигнований по выкупу жилых помещений в целях реализации городским округом полномочий в области жилищных отношений, установленных законодательством Российской Федерации (средства окружного бюджета 10 317,5 тыс. рублей, средства местного бюджета 1 514,2 тыс. рублей)</t>
  </si>
  <si>
    <t>(-) 218,6 тыс. рублей - уменьшен объем бюджетных ассигнований по проведению мероприятий по предупреждению и ликвидации болезней животных, их лечению, защите населения от болезней, общих для человека и животных (средства местного бюджета)</t>
  </si>
  <si>
    <t>(-) 350,0 тыс. рублей - уменьшен объем бюджетных ассигнований по сносу гаражей, сараев, балков, жилых домов;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10,0 тыс. рублей - уменьшен объем бюджетных ассигнований по строительству, ремонту площадок, установки нового игрового оборудования на детских площадках;                                                                                                                                                                                     (-) 0,1 тыс. рублей - уменьшен объем бюджетных ассигнований по подготовки объектов к новогодним мероприятиям;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413,4 тыс. рублей - уменьшен объем бюджетных ассигнований по уходу за газонами; закупки, посадки и уходу за цветниками;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999,3 тыс. рублей - увеличен объем бюджетных ассигнований на потребление электроэнергии уличного освещения (средства местного бюджета)</t>
  </si>
  <si>
    <t>(-) 125,1 тыс.рублей - уменьшен объем бюджетных ассигнований по капитальному ремонту, реконструкции и ремонту муниципального жилищного фонда (средства местного бюджета)</t>
  </si>
  <si>
    <t>(+) 602,5 тыс.рублей - увеличен объем бюджетных ассигнований на градостроительную деятельность (средства местного бюджета)</t>
  </si>
  <si>
    <t>(-) 2,5 тыс.рублей - уменьшен объем бюджетных ассигнований по обеспечению функций органов местного самоуправления (средства местного бюджета)</t>
  </si>
  <si>
    <t>(+) 9,8 тыс.рублей - увеличен объем бюджетных ассигнований на техподключение к разводящим электрическим сетям объекта "Строительство мемориального комплекса "Аллея славы" (средства местного бюджета)</t>
  </si>
  <si>
    <t>(+) 89,0 тыс. рублей - увеличен объем бюджетных ассигнований на проведение экспертизы контрактов по приобретению в муниципальную собственность 56 квартир;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4 500,0 тыс.рублей-увеличен объем бюджетных ассигнований оплату земельного налога (средства местного бюджета)</t>
  </si>
  <si>
    <t>(+) 339,8 тыс. рублей - увеличен объем бюджетных ассигнований на реализацию мероприятий, направленных на проведение работ по требованию пожарной безопасности в дошкольных учреждениях</t>
  </si>
  <si>
    <t>(+) 949,9 тыс.рублей увеличен объем бюджетных ассигнований за счет средств местного бюджета на выплату заработной платы и начислений на оплату труда работникам муниципальных учреждений дополнительного образования детей</t>
  </si>
  <si>
    <t>(+) 108,1 тыс.рублей - увеличен объем бюджетных ассигнований на оплату исполнительного листа(средства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1179,0 тыс.руб. - увеличен объем бюджетных ассигнований для выплаты выходного пособия при сокращении работников МКУ "Дирекция по эксплуатации имущества"</t>
  </si>
  <si>
    <t>(-) 16 443,1 тыс. рублей - уменьшен объем целевых межбюджетных трансфертов на обеспечение государственных гарантий на получение образования и осуществления,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350,0 тыс. рублей - уменьшен объем бюджетных ассигнований на проведение и организацию мероприятий "Молодежный бал Главы города" и "Форум добровольцев" (средства местного бюджета);                                                                                                                                  (-) 339,8 тыс. рублей - уменьшен объем бюджетных ассигнований на реализацию мероприятий, направленных на проведение работ по требованию пожарной безопасности в дошкольных учреждениях;                                                                                                                        (+) 90,0 тыс. рублей - увеличен объем бюджетных ассигнований путем внутреннего перераспределения для компенсации расходов на оплату стоимости проезда и провоза багажа к месту использования отпуска и обратно(средства местного бюджета);                                                                                                                                   (-) 686,3 тыс. рублей - уменьшен объем бюджетных ассигнований в связи с образовавшейся экономией и направленный на  выплаты заработной платы и начисления на выплаты по оплате труда работникам муниципальных учреждений</t>
  </si>
  <si>
    <t>(-) 1 000,0 тыс. рублей - уменьшен объем бюджетных ассигнований в связи с образовавшейся экономией и направленный на  выплаты заработной платы и начисления на выплаты по оплате труда работникам муниципальных учреждений</t>
  </si>
  <si>
    <t>(+) 350,0 тыс.рублей - увеличен объем бюджетных ассигнований на проведение и организацию мероприятий "Молодежный бал Главы города" и "Форум добровольцев" (средства местного бюджета);                                                                                                                                     (-) 90,0 тыс. рублей -уменьшен объем бюджетных ассигнований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(-) 48,2 тыс. рублей -уменьшен объем бюджетных ассигнований в связи с образовавшейся экономией и направленный на  выплаты заработной платы и начисления на выплаты по оплате труда работникам муниципальных учреждений</t>
  </si>
  <si>
    <t>(+) 350,0 тыс.рублей - увеличен объем бюджетных ассигнований на проведение и организацию мероприятий "Молодежный бал Главы города" и "Форум добровольцев" (средства местного бюджета);                                                                                                                                     (-) 90,0 тыс. рублей -уменьшен объем бюджетных ассигнований путем внутреннего перераспределения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(-) 48,2 тыс. рублей -уменьшен объем бюджетных ассигнований, в связи с образовавшейся экономией, и направлен на  выплаты заработной платы и начисления на выплаты по оплате труда работникам муниципальных учреждений</t>
  </si>
  <si>
    <t>(+) 650,0 тыс.рублей -увеличен объем бюджетных ассигнований за счет средств резервного фонда Правительства Тюменской области на приобретение автобуса МАУ ДО «ДЮСШ «Юность»</t>
  </si>
  <si>
    <t>(+) 630,0 тыс.рублей – увеличен объем бюджетных ассигнований на выплату пенсии за выслугу лет;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400,0 тыс.рублей - увеличен объем бюджетных ассигнований на оплату исполнительских сборов (ДМС);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239,0 тыс.рублей - увеличен объем бюджетных ассигнований на исполнение судебных решений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(-) 300,0 тыс.рублей - уменьшен объем бюджетных ассигнований по единовременному денежному вознаграждению к Почетной грамоте.</t>
  </si>
  <si>
    <t>(-) 434,3 тыс.рублей -уменьшение расходов  экономия плановых ассигнований</t>
  </si>
  <si>
    <t xml:space="preserve">(+) 110,8 тыс.рублей - увеличен объем бюджетных ассигнований на по начислению оплаты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</si>
  <si>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(-) 110,8 тиыс.рублей экономия плановых ассигнований по  содержанию департамента образования и молоденой поминики </t>
  </si>
  <si>
    <t>(+) 4 500,0 тыс.рублей-увеличен объем бюджетных ассигнований оплату земельного налога (средства местного бюджета)</t>
  </si>
  <si>
    <t>(-) 218,6 тыс. рублей - уменьшен объем бюджетных ассигнований по проведению мероприятий по предупреждению и ликвидации болезней животных, их лечению, защите населения от болезней, общих для человека и животных;                                                                         (-) 350,0 тыс. рублей - уменьшен объем бюджетных ассигнований по сносу гаражей, сараев, балков, жилых домов;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10,0 тыс. рублей - уменьшен объем бюджетных ассигнований по строительству, ремонту площадок, установки нового игрового оборудования на детских площадках;                                                                                                                                                                                     (-) 0,1 тыс. рублей - уменьшен объем бюджетных ассигнований по подготовки объектов к новогодним мероприятиям;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413,4 тыс. рублей - уменьшен объем бюджетных ассигнований по уходу за газонами, закупки, посадки и уходу за цветниками;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999,3 тыс. рублей - увеличен объем бюджетных ассигнований на потребление электроэнергии уличного освещения</t>
  </si>
  <si>
    <t>(-) 16 443,1 тыс. рублей - уменьшен объем целевых межбюджетных трансфертов на обеспечение государственных гарантий на получение образования и осуществления,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350,0 тыс. рублей - уменьшен объем бюджетных ассигнований на проведение и организацию мероприятий "Молодежный бал Главы города" и "Форум добровольцев" (средства местного бюджета);                                                                                                                                                                                                      (-) 110,8 тыс.рублей экономия плановых ассигнований по содержанию департамента  образования и молодежной политики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339,8 тыс. рублей - уменьшен объем бюджетных ассигнований на реализацию мероприятий, направленных на проведение работ по требованию пожарной безопасности в дошкольных учреждениях (средства местного бюджета);                                                                                                                        (+) 90,0 тыс. рублей - увеличен объем бюджетных ассигнований путем внутреннего перераспределения для компенсации расходов на оплату стоимости проезда и провоза багажа к месту использования отпуска и обратно(средства местного бюджета);                                                                                                                                   (-)1 686,3 тыс. рублей -уменьшен объем бюджетных ассигнований, в связи с образовавшейся экономией, и направлен на  выплаты заработной платы и начисления на выплаты по оплате труда работникам муниципальных учреждений (средства местного бюджета)</t>
  </si>
  <si>
    <t>(+) 339,8 тыс. рублей - увеличен объем бюджетных ассигнований на реализацию мероприятий, направленных на проведение работ по требованию пожарной безопасности в дошкольных учреждениях (средства местного бюджета)</t>
  </si>
  <si>
    <t>(+) 108,1 тыс.рублей - увеличен объем бюджетных ассигнований на оплату исполнительного листа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(+) 1 179,0 тыс.руб. - увеличен объем бюджетных ассигнований для выплаты выходного пособия при сокращении работников МКУ "Дирекция по эксплуатации имущества" (средства местного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</si>
</sst>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* #,##0.00;* \-#,##0.00;* &quot;-&quot;??;@"/>
    <numFmt numFmtId="165" formatCode="#,##0.0;[Red]\-#,##0.0;0.0"/>
    <numFmt numFmtId="166" formatCode="00.0.0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2" fillId="0" borderId="0"/>
  </cellStyleXfs>
  <cellXfs count="234">
    <xf numFmtId="0" fontId="0" fillId="0" borderId="0" xfId="0"/>
    <xf numFmtId="0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6" fillId="2" borderId="13" xfId="1" applyNumberFormat="1" applyFont="1" applyFill="1" applyBorder="1" applyAlignment="1" applyProtection="1">
      <alignment horizontal="center" vertical="center"/>
      <protection hidden="1"/>
    </xf>
    <xf numFmtId="0" fontId="6" fillId="2" borderId="12" xfId="1" applyNumberFormat="1" applyFont="1" applyFill="1" applyBorder="1" applyAlignment="1" applyProtection="1">
      <alignment horizontal="center" vertical="center"/>
      <protection hidden="1"/>
    </xf>
    <xf numFmtId="0" fontId="6" fillId="2" borderId="11" xfId="1" applyNumberFormat="1" applyFont="1" applyFill="1" applyBorder="1" applyAlignment="1" applyProtection="1">
      <alignment horizontal="center" vertical="center"/>
      <protection hidden="1"/>
    </xf>
    <xf numFmtId="0" fontId="6" fillId="2" borderId="10" xfId="1" applyNumberFormat="1" applyFont="1" applyFill="1" applyBorder="1" applyAlignment="1" applyProtection="1">
      <alignment horizontal="center" vertical="center"/>
      <protection hidden="1"/>
    </xf>
    <xf numFmtId="0" fontId="6" fillId="2" borderId="9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ill="1"/>
    <xf numFmtId="0" fontId="2" fillId="2" borderId="0" xfId="1" applyFill="1" applyBorder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6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165" fontId="6" fillId="2" borderId="22" xfId="1" applyNumberFormat="1" applyFont="1" applyFill="1" applyBorder="1" applyAlignment="1" applyProtection="1">
      <alignment vertical="center"/>
      <protection hidden="1"/>
    </xf>
    <xf numFmtId="0" fontId="2" fillId="0" borderId="19" xfId="1" applyNumberFormat="1" applyFont="1" applyFill="1" applyBorder="1" applyAlignment="1" applyProtection="1">
      <protection hidden="1"/>
    </xf>
    <xf numFmtId="0" fontId="2" fillId="0" borderId="24" xfId="1" applyNumberFormat="1" applyFont="1" applyFill="1" applyBorder="1" applyAlignment="1" applyProtection="1">
      <protection hidden="1"/>
    </xf>
    <xf numFmtId="165" fontId="4" fillId="2" borderId="18" xfId="1" applyNumberFormat="1" applyFont="1" applyFill="1" applyBorder="1" applyAlignment="1" applyProtection="1">
      <alignment vertical="center"/>
      <protection hidden="1"/>
    </xf>
    <xf numFmtId="49" fontId="10" fillId="2" borderId="8" xfId="1" applyNumberFormat="1" applyFont="1" applyFill="1" applyBorder="1" applyAlignment="1" applyProtection="1">
      <alignment vertical="center" wrapText="1"/>
      <protection hidden="1"/>
    </xf>
    <xf numFmtId="49" fontId="2" fillId="2" borderId="9" xfId="1" applyNumberFormat="1" applyFont="1" applyFill="1" applyBorder="1" applyAlignment="1" applyProtection="1">
      <alignment wrapText="1"/>
      <protection hidden="1"/>
    </xf>
    <xf numFmtId="49" fontId="6" fillId="2" borderId="9" xfId="1" applyNumberFormat="1" applyFont="1" applyFill="1" applyBorder="1" applyAlignment="1" applyProtection="1">
      <alignment horizontal="center" vertical="center" wrapText="1"/>
      <protection hidden="1"/>
    </xf>
    <xf numFmtId="49" fontId="10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8" xfId="1" applyFont="1" applyFill="1" applyBorder="1" applyAlignment="1">
      <alignment wrapText="1"/>
    </xf>
    <xf numFmtId="49" fontId="6" fillId="2" borderId="8" xfId="1" applyNumberFormat="1" applyFont="1" applyFill="1" applyBorder="1" applyAlignment="1" applyProtection="1">
      <alignment horizontal="center" vertical="center" wrapText="1"/>
      <protection hidden="1"/>
    </xf>
    <xf numFmtId="49" fontId="6" fillId="2" borderId="8" xfId="1" applyNumberFormat="1" applyFont="1" applyFill="1" applyBorder="1" applyAlignment="1" applyProtection="1">
      <alignment vertical="center" wrapText="1"/>
      <protection hidden="1"/>
    </xf>
    <xf numFmtId="165" fontId="6" fillId="2" borderId="8" xfId="1" applyNumberFormat="1" applyFont="1" applyFill="1" applyBorder="1" applyAlignment="1" applyProtection="1">
      <alignment vertical="center"/>
      <protection hidden="1"/>
    </xf>
    <xf numFmtId="49" fontId="2" fillId="0" borderId="8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Alignment="1" applyProtection="1">
      <alignment wrapText="1"/>
      <protection hidden="1"/>
    </xf>
    <xf numFmtId="0" fontId="2" fillId="0" borderId="8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Protection="1">
      <protection hidden="1"/>
    </xf>
    <xf numFmtId="166" fontId="2" fillId="0" borderId="8" xfId="1" applyNumberFormat="1" applyFont="1" applyFill="1" applyBorder="1" applyAlignment="1" applyProtection="1">
      <alignment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/>
    <xf numFmtId="0" fontId="2" fillId="0" borderId="8" xfId="1" applyFont="1" applyFill="1" applyBorder="1" applyAlignment="1">
      <alignment wrapText="1"/>
    </xf>
    <xf numFmtId="0" fontId="15" fillId="0" borderId="18" xfId="1" applyNumberFormat="1" applyFont="1" applyFill="1" applyBorder="1" applyAlignment="1" applyProtection="1">
      <protection hidden="1"/>
    </xf>
    <xf numFmtId="49" fontId="3" fillId="0" borderId="25" xfId="1" applyNumberFormat="1" applyFont="1" applyFill="1" applyBorder="1" applyAlignment="1" applyProtection="1">
      <alignment vertical="center" wrapText="1"/>
      <protection hidden="1"/>
    </xf>
    <xf numFmtId="0" fontId="3" fillId="0" borderId="23" xfId="1" applyNumberFormat="1" applyFont="1" applyFill="1" applyBorder="1" applyAlignment="1" applyProtection="1">
      <protection hidden="1"/>
    </xf>
    <xf numFmtId="49" fontId="3" fillId="0" borderId="20" xfId="1" applyNumberFormat="1" applyFont="1" applyFill="1" applyBorder="1" applyAlignment="1" applyProtection="1">
      <alignment wrapText="1"/>
      <protection hidden="1"/>
    </xf>
    <xf numFmtId="166" fontId="2" fillId="0" borderId="8" xfId="1" applyNumberFormat="1" applyFont="1" applyFill="1" applyBorder="1" applyAlignment="1" applyProtection="1">
      <alignment vertical="top" wrapText="1"/>
      <protection hidden="1"/>
    </xf>
    <xf numFmtId="0" fontId="12" fillId="0" borderId="0" xfId="2" applyNumberFormat="1" applyFont="1" applyFill="1" applyProtection="1">
      <protection hidden="1"/>
    </xf>
    <xf numFmtId="0" fontId="2" fillId="0" borderId="0" xfId="1" applyFont="1" applyFill="1" applyAlignment="1" applyProtection="1">
      <alignment wrapText="1"/>
      <protection hidden="1"/>
    </xf>
    <xf numFmtId="49" fontId="2" fillId="0" borderId="0" xfId="1" applyNumberFormat="1" applyFont="1" applyFill="1" applyAlignment="1">
      <alignment wrapText="1"/>
    </xf>
    <xf numFmtId="0" fontId="2" fillId="0" borderId="19" xfId="1" applyFont="1" applyFill="1" applyBorder="1" applyProtection="1">
      <protection hidden="1"/>
    </xf>
    <xf numFmtId="49" fontId="12" fillId="0" borderId="0" xfId="2" applyNumberFormat="1" applyFont="1" applyFill="1" applyAlignment="1" applyProtection="1">
      <alignment wrapText="1"/>
      <protection hidden="1"/>
    </xf>
    <xf numFmtId="49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2" fillId="0" borderId="9" xfId="1" applyNumberFormat="1" applyFont="1" applyFill="1" applyBorder="1" applyAlignment="1" applyProtection="1">
      <alignment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/>
      <protection hidden="1"/>
    </xf>
    <xf numFmtId="0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 vertical="center"/>
      <protection hidden="1"/>
    </xf>
    <xf numFmtId="49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wrapText="1"/>
      <protection hidden="1"/>
    </xf>
    <xf numFmtId="0" fontId="13" fillId="0" borderId="0" xfId="0" applyFont="1" applyFill="1" applyAlignment="1">
      <alignment horizontal="left" wrapText="1"/>
    </xf>
    <xf numFmtId="49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right" vertical="center"/>
      <protection hidden="1"/>
    </xf>
    <xf numFmtId="49" fontId="2" fillId="0" borderId="8" xfId="1" applyNumberFormat="1" applyFont="1" applyFill="1" applyBorder="1" applyAlignment="1" applyProtection="1">
      <alignment horizontal="right" vertical="center" wrapText="1"/>
      <protection hidden="1"/>
    </xf>
    <xf numFmtId="14" fontId="2" fillId="0" borderId="0" xfId="1" applyNumberFormat="1" applyFont="1" applyFill="1"/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22" xfId="1" applyNumberFormat="1" applyFont="1" applyFill="1" applyBorder="1" applyAlignment="1" applyProtection="1">
      <alignment vertical="center"/>
      <protection hidden="1"/>
    </xf>
    <xf numFmtId="49" fontId="2" fillId="0" borderId="22" xfId="1" applyNumberFormat="1" applyFont="1" applyFill="1" applyBorder="1" applyAlignment="1" applyProtection="1">
      <alignment vertical="center" wrapText="1"/>
      <protection hidden="1"/>
    </xf>
    <xf numFmtId="165" fontId="3" fillId="0" borderId="18" xfId="1" applyNumberFormat="1" applyFont="1" applyFill="1" applyBorder="1" applyAlignment="1" applyProtection="1">
      <alignment vertical="center"/>
      <protection hidden="1"/>
    </xf>
    <xf numFmtId="0" fontId="2" fillId="0" borderId="1" xfId="1" applyFont="1" applyFill="1" applyBorder="1" applyProtection="1">
      <protection hidden="1"/>
    </xf>
    <xf numFmtId="0" fontId="0" fillId="2" borderId="0" xfId="2" applyNumberFormat="1" applyFont="1" applyFill="1" applyProtection="1">
      <protection hidden="1"/>
    </xf>
    <xf numFmtId="0" fontId="2" fillId="2" borderId="0" xfId="1" applyFill="1" applyAlignment="1" applyProtection="1">
      <alignment wrapText="1"/>
      <protection hidden="1"/>
    </xf>
    <xf numFmtId="49" fontId="2" fillId="2" borderId="0" xfId="1" applyNumberFormat="1" applyFill="1" applyAlignment="1">
      <alignment wrapText="1"/>
    </xf>
    <xf numFmtId="0" fontId="2" fillId="2" borderId="0" xfId="1" applyNumberFormat="1" applyFont="1" applyFill="1" applyAlignment="1" applyProtection="1">
      <alignment wrapText="1"/>
      <protection hidden="1"/>
    </xf>
    <xf numFmtId="49" fontId="0" fillId="2" borderId="0" xfId="2" applyNumberFormat="1" applyFont="1" applyFill="1" applyAlignment="1" applyProtection="1">
      <alignment wrapText="1"/>
      <protection hidden="1"/>
    </xf>
    <xf numFmtId="14" fontId="2" fillId="2" borderId="0" xfId="1" applyNumberFormat="1" applyFill="1"/>
    <xf numFmtId="49" fontId="6" fillId="2" borderId="22" xfId="1" applyNumberFormat="1" applyFont="1" applyFill="1" applyBorder="1" applyAlignment="1" applyProtection="1">
      <alignment vertical="center" wrapText="1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2" borderId="24" xfId="1" applyNumberFormat="1" applyFont="1" applyFill="1" applyBorder="1" applyAlignment="1" applyProtection="1">
      <protection hidden="1"/>
    </xf>
    <xf numFmtId="0" fontId="5" fillId="2" borderId="18" xfId="1" applyNumberFormat="1" applyFont="1" applyFill="1" applyBorder="1" applyAlignment="1" applyProtection="1">
      <protection hidden="1"/>
    </xf>
    <xf numFmtId="49" fontId="4" fillId="2" borderId="25" xfId="1" applyNumberFormat="1" applyFont="1" applyFill="1" applyBorder="1" applyAlignment="1" applyProtection="1">
      <alignment vertical="center" wrapText="1"/>
      <protection hidden="1"/>
    </xf>
    <xf numFmtId="0" fontId="2" fillId="2" borderId="5" xfId="1" applyNumberFormat="1" applyFont="1" applyFill="1" applyBorder="1" applyAlignment="1" applyProtection="1">
      <protection hidden="1"/>
    </xf>
    <xf numFmtId="0" fontId="2" fillId="2" borderId="19" xfId="1" applyNumberFormat="1" applyFont="1" applyFill="1" applyBorder="1" applyAlignment="1" applyProtection="1">
      <protection hidden="1"/>
    </xf>
    <xf numFmtId="0" fontId="4" fillId="2" borderId="23" xfId="1" applyNumberFormat="1" applyFont="1" applyFill="1" applyBorder="1" applyAlignment="1" applyProtection="1">
      <protection hidden="1"/>
    </xf>
    <xf numFmtId="49" fontId="4" fillId="2" borderId="20" xfId="1" applyNumberFormat="1" applyFont="1" applyFill="1" applyBorder="1" applyAlignment="1" applyProtection="1">
      <alignment wrapText="1"/>
      <protection hidden="1"/>
    </xf>
    <xf numFmtId="0" fontId="2" fillId="2" borderId="0" xfId="1" applyNumberFormat="1" applyFont="1" applyFill="1" applyAlignment="1" applyProtection="1"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2" fillId="2" borderId="1" xfId="1" applyFill="1" applyBorder="1" applyProtection="1">
      <protection hidden="1"/>
    </xf>
    <xf numFmtId="0" fontId="6" fillId="2" borderId="22" xfId="1" applyNumberFormat="1" applyFont="1" applyFill="1" applyBorder="1" applyAlignment="1" applyProtection="1">
      <alignment horizontal="center" vertical="center" wrapText="1"/>
      <protection hidden="1"/>
    </xf>
    <xf numFmtId="166" fontId="10" fillId="2" borderId="8" xfId="1" applyNumberFormat="1" applyFont="1" applyFill="1" applyBorder="1" applyAlignment="1" applyProtection="1">
      <alignment wrapText="1"/>
      <protection hidden="1"/>
    </xf>
    <xf numFmtId="166" fontId="6" fillId="2" borderId="8" xfId="1" applyNumberFormat="1" applyFont="1" applyFill="1" applyBorder="1" applyAlignment="1" applyProtection="1">
      <alignment wrapText="1"/>
      <protection hidden="1"/>
    </xf>
    <xf numFmtId="49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1" xfId="1" applyNumberFormat="1" applyFont="1" applyFill="1" applyBorder="1" applyAlignment="1" applyProtection="1">
      <protection hidden="1"/>
    </xf>
    <xf numFmtId="49" fontId="6" fillId="2" borderId="35" xfId="1" applyNumberFormat="1" applyFont="1" applyFill="1" applyBorder="1" applyAlignment="1" applyProtection="1">
      <alignment vertical="center" wrapText="1"/>
      <protection hidden="1"/>
    </xf>
    <xf numFmtId="166" fontId="6" fillId="2" borderId="34" xfId="1" applyNumberFormat="1" applyFont="1" applyFill="1" applyBorder="1" applyAlignment="1" applyProtection="1">
      <alignment wrapText="1"/>
      <protection hidden="1"/>
    </xf>
    <xf numFmtId="0" fontId="6" fillId="2" borderId="35" xfId="1" applyFont="1" applyFill="1" applyBorder="1" applyAlignment="1" applyProtection="1">
      <alignment wrapText="1"/>
      <protection hidden="1"/>
    </xf>
    <xf numFmtId="0" fontId="6" fillId="2" borderId="35" xfId="1" applyFont="1" applyFill="1" applyBorder="1" applyAlignment="1" applyProtection="1">
      <alignment vertical="center" wrapText="1"/>
      <protection hidden="1"/>
    </xf>
    <xf numFmtId="0" fontId="6" fillId="2" borderId="35" xfId="1" applyFont="1" applyFill="1" applyBorder="1" applyAlignment="1">
      <alignment wrapText="1"/>
    </xf>
    <xf numFmtId="49" fontId="6" fillId="2" borderId="36" xfId="1" applyNumberFormat="1" applyFont="1" applyFill="1" applyBorder="1" applyAlignment="1" applyProtection="1">
      <alignment vertical="center" wrapText="1"/>
      <protection hidden="1"/>
    </xf>
    <xf numFmtId="0" fontId="2" fillId="2" borderId="37" xfId="1" applyNumberFormat="1" applyFont="1" applyFill="1" applyBorder="1" applyAlignment="1" applyProtection="1">
      <protection hidden="1"/>
    </xf>
    <xf numFmtId="0" fontId="2" fillId="2" borderId="6" xfId="1" applyNumberFormat="1" applyFont="1" applyFill="1" applyBorder="1" applyAlignment="1" applyProtection="1">
      <protection hidden="1"/>
    </xf>
    <xf numFmtId="0" fontId="2" fillId="2" borderId="38" xfId="1" applyNumberFormat="1" applyFont="1" applyFill="1" applyBorder="1" applyAlignment="1" applyProtection="1">
      <protection hidden="1"/>
    </xf>
    <xf numFmtId="49" fontId="6" fillId="0" borderId="35" xfId="1" applyNumberFormat="1" applyFont="1" applyFill="1" applyBorder="1" applyAlignment="1" applyProtection="1">
      <alignment vertical="center" wrapText="1"/>
      <protection hidden="1"/>
    </xf>
    <xf numFmtId="166" fontId="6" fillId="2" borderId="8" xfId="1" applyNumberFormat="1" applyFont="1" applyFill="1" applyBorder="1" applyAlignment="1" applyProtection="1">
      <alignment wrapText="1"/>
      <protection hidden="1"/>
    </xf>
    <xf numFmtId="0" fontId="9" fillId="2" borderId="0" xfId="3" applyFont="1" applyFill="1" applyAlignment="1"/>
    <xf numFmtId="0" fontId="6" fillId="2" borderId="5" xfId="1" applyNumberFormat="1" applyFont="1" applyFill="1" applyBorder="1" applyAlignment="1" applyProtection="1">
      <alignment horizontal="center" vertical="center"/>
      <protection hidden="1"/>
    </xf>
    <xf numFmtId="165" fontId="6" fillId="2" borderId="40" xfId="1" applyNumberFormat="1" applyFont="1" applyFill="1" applyBorder="1" applyAlignment="1" applyProtection="1">
      <alignment vertical="center"/>
      <protection hidden="1"/>
    </xf>
    <xf numFmtId="165" fontId="6" fillId="2" borderId="29" xfId="1" applyNumberFormat="1" applyFont="1" applyFill="1" applyBorder="1" applyAlignment="1" applyProtection="1">
      <alignment vertical="center"/>
      <protection hidden="1"/>
    </xf>
    <xf numFmtId="165" fontId="4" fillId="2" borderId="39" xfId="1" applyNumberFormat="1" applyFont="1" applyFill="1" applyBorder="1" applyAlignment="1" applyProtection="1">
      <alignment vertical="center"/>
      <protection hidden="1"/>
    </xf>
    <xf numFmtId="49" fontId="6" fillId="2" borderId="42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8" xfId="1" applyFont="1" applyFill="1" applyBorder="1" applyAlignment="1" applyProtection="1">
      <alignment wrapText="1"/>
      <protection hidden="1"/>
    </xf>
    <xf numFmtId="49" fontId="6" fillId="0" borderId="8" xfId="1" applyNumberFormat="1" applyFont="1" applyFill="1" applyBorder="1" applyAlignment="1" applyProtection="1">
      <alignment vertical="center" wrapText="1"/>
      <protection hidden="1"/>
    </xf>
    <xf numFmtId="0" fontId="6" fillId="2" borderId="8" xfId="1" applyFont="1" applyFill="1" applyBorder="1" applyAlignment="1" applyProtection="1">
      <alignment vertical="center" wrapText="1"/>
      <protection hidden="1"/>
    </xf>
    <xf numFmtId="49" fontId="4" fillId="2" borderId="18" xfId="1" applyNumberFormat="1" applyFont="1" applyFill="1" applyBorder="1" applyAlignment="1" applyProtection="1">
      <alignment vertical="center" wrapText="1"/>
      <protection hidden="1"/>
    </xf>
    <xf numFmtId="0" fontId="2" fillId="0" borderId="0" xfId="1" applyFill="1" applyBorder="1" applyProtection="1">
      <protection hidden="1"/>
    </xf>
    <xf numFmtId="0" fontId="2" fillId="0" borderId="0" xfId="1" applyFill="1"/>
    <xf numFmtId="0" fontId="2" fillId="3" borderId="0" xfId="1" applyFill="1" applyBorder="1" applyProtection="1"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165" fontId="4" fillId="3" borderId="8" xfId="1" applyNumberFormat="1" applyFont="1" applyFill="1" applyBorder="1" applyAlignment="1" applyProtection="1">
      <alignment vertical="center"/>
      <protection hidden="1"/>
    </xf>
    <xf numFmtId="49" fontId="4" fillId="3" borderId="8" xfId="1" applyNumberFormat="1" applyFont="1" applyFill="1" applyBorder="1" applyAlignment="1" applyProtection="1">
      <alignment vertical="center" wrapText="1"/>
      <protection hidden="1"/>
    </xf>
    <xf numFmtId="49" fontId="6" fillId="3" borderId="8" xfId="1" applyNumberFormat="1" applyFont="1" applyFill="1" applyBorder="1" applyAlignment="1" applyProtection="1">
      <alignment vertical="center" wrapText="1"/>
      <protection hidden="1"/>
    </xf>
    <xf numFmtId="165" fontId="4" fillId="3" borderId="40" xfId="1" applyNumberFormat="1" applyFont="1" applyFill="1" applyBorder="1" applyAlignment="1" applyProtection="1">
      <alignment vertical="center"/>
      <protection hidden="1"/>
    </xf>
    <xf numFmtId="49" fontId="6" fillId="3" borderId="35" xfId="1" applyNumberFormat="1" applyFont="1" applyFill="1" applyBorder="1" applyAlignment="1" applyProtection="1">
      <alignment vertical="center" wrapText="1"/>
      <protection hidden="1"/>
    </xf>
    <xf numFmtId="0" fontId="2" fillId="3" borderId="0" xfId="1" applyFill="1"/>
    <xf numFmtId="0" fontId="2" fillId="2" borderId="0" xfId="1" applyFont="1" applyFill="1" applyBorder="1" applyProtection="1">
      <protection hidden="1"/>
    </xf>
    <xf numFmtId="0" fontId="2" fillId="2" borderId="0" xfId="1" applyFont="1" applyFill="1"/>
    <xf numFmtId="0" fontId="3" fillId="3" borderId="0" xfId="1" applyFont="1" applyFill="1" applyBorder="1" applyProtection="1">
      <protection hidden="1"/>
    </xf>
    <xf numFmtId="49" fontId="4" fillId="3" borderId="35" xfId="1" applyNumberFormat="1" applyFont="1" applyFill="1" applyBorder="1" applyAlignment="1" applyProtection="1">
      <alignment vertical="center" wrapText="1"/>
      <protection hidden="1"/>
    </xf>
    <xf numFmtId="0" fontId="3" fillId="3" borderId="0" xfId="1" applyFont="1" applyFill="1"/>
    <xf numFmtId="0" fontId="11" fillId="3" borderId="44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6" fillId="3" borderId="8" xfId="1" applyNumberFormat="1" applyFont="1" applyFill="1" applyBorder="1" applyAlignment="1" applyProtection="1">
      <alignment horizontal="center" vertical="center" wrapText="1"/>
      <protection hidden="1"/>
    </xf>
    <xf numFmtId="165" fontId="6" fillId="3" borderId="8" xfId="1" applyNumberFormat="1" applyFont="1" applyFill="1" applyBorder="1" applyAlignment="1" applyProtection="1">
      <alignment vertical="center"/>
      <protection hidden="1"/>
    </xf>
    <xf numFmtId="165" fontId="6" fillId="3" borderId="40" xfId="1" applyNumberFormat="1" applyFont="1" applyFill="1" applyBorder="1" applyAlignment="1" applyProtection="1">
      <alignment vertical="center"/>
      <protection hidden="1"/>
    </xf>
    <xf numFmtId="0" fontId="2" fillId="4" borderId="0" xfId="1" applyFill="1" applyBorder="1" applyProtection="1">
      <protection hidden="1"/>
    </xf>
    <xf numFmtId="166" fontId="6" fillId="4" borderId="34" xfId="1" applyNumberFormat="1" applyFont="1" applyFill="1" applyBorder="1" applyAlignment="1" applyProtection="1">
      <alignment wrapText="1"/>
      <protection hidden="1"/>
    </xf>
    <xf numFmtId="0" fontId="6" fillId="4" borderId="8" xfId="1" applyNumberFormat="1" applyFont="1" applyFill="1" applyBorder="1" applyAlignment="1" applyProtection="1">
      <alignment horizontal="center" vertical="center" wrapText="1"/>
      <protection hidden="1"/>
    </xf>
    <xf numFmtId="165" fontId="6" fillId="4" borderId="8" xfId="1" applyNumberFormat="1" applyFont="1" applyFill="1" applyBorder="1" applyAlignment="1" applyProtection="1">
      <alignment vertical="center"/>
      <protection hidden="1"/>
    </xf>
    <xf numFmtId="49" fontId="6" fillId="4" borderId="8" xfId="1" applyNumberFormat="1" applyFont="1" applyFill="1" applyBorder="1" applyAlignment="1" applyProtection="1">
      <alignment vertical="center" wrapText="1"/>
      <protection hidden="1"/>
    </xf>
    <xf numFmtId="165" fontId="6" fillId="4" borderId="40" xfId="1" applyNumberFormat="1" applyFont="1" applyFill="1" applyBorder="1" applyAlignment="1" applyProtection="1">
      <alignment vertical="center"/>
      <protection hidden="1"/>
    </xf>
    <xf numFmtId="49" fontId="6" fillId="4" borderId="35" xfId="1" applyNumberFormat="1" applyFont="1" applyFill="1" applyBorder="1" applyAlignment="1" applyProtection="1">
      <alignment vertical="center" wrapText="1"/>
      <protection hidden="1"/>
    </xf>
    <xf numFmtId="0" fontId="2" fillId="4" borderId="0" xfId="1" applyFill="1"/>
    <xf numFmtId="166" fontId="6" fillId="0" borderId="34" xfId="1" applyNumberFormat="1" applyFont="1" applyFill="1" applyBorder="1" applyAlignment="1" applyProtection="1">
      <alignment wrapText="1"/>
      <protection hidden="1"/>
    </xf>
    <xf numFmtId="166" fontId="6" fillId="0" borderId="8" xfId="1" applyNumberFormat="1" applyFont="1" applyFill="1" applyBorder="1" applyAlignment="1" applyProtection="1">
      <alignment wrapText="1"/>
      <protection hidden="1"/>
    </xf>
    <xf numFmtId="166" fontId="10" fillId="0" borderId="8" xfId="1" applyNumberFormat="1" applyFont="1" applyFill="1" applyBorder="1" applyAlignment="1" applyProtection="1">
      <alignment wrapText="1"/>
      <protection hidden="1"/>
    </xf>
    <xf numFmtId="49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5" fontId="6" fillId="0" borderId="40" xfId="1" applyNumberFormat="1" applyFont="1" applyFill="1" applyBorder="1" applyAlignment="1" applyProtection="1">
      <alignment vertical="center"/>
      <protection hidden="1"/>
    </xf>
    <xf numFmtId="49" fontId="10" fillId="4" borderId="8" xfId="1" applyNumberFormat="1" applyFont="1" applyFill="1" applyBorder="1" applyAlignment="1" applyProtection="1">
      <alignment vertical="center" wrapText="1"/>
      <protection hidden="1"/>
    </xf>
    <xf numFmtId="0" fontId="2" fillId="4" borderId="0" xfId="1" applyFont="1" applyFill="1" applyBorder="1" applyProtection="1">
      <protection hidden="1"/>
    </xf>
    <xf numFmtId="0" fontId="2" fillId="4" borderId="0" xfId="1" applyFont="1" applyFill="1"/>
    <xf numFmtId="0" fontId="6" fillId="4" borderId="22" xfId="1" applyNumberFormat="1" applyFont="1" applyFill="1" applyBorder="1" applyAlignment="1" applyProtection="1">
      <alignment horizontal="center" vertical="center" wrapText="1"/>
      <protection hidden="1"/>
    </xf>
    <xf numFmtId="165" fontId="6" fillId="4" borderId="22" xfId="1" applyNumberFormat="1" applyFont="1" applyFill="1" applyBorder="1" applyAlignment="1" applyProtection="1">
      <alignment horizontal="right" vertical="center"/>
      <protection hidden="1"/>
    </xf>
    <xf numFmtId="165" fontId="6" fillId="4" borderId="8" xfId="1" applyNumberFormat="1" applyFont="1" applyFill="1" applyBorder="1" applyAlignment="1" applyProtection="1">
      <alignment horizontal="right" vertical="center"/>
      <protection hidden="1"/>
    </xf>
    <xf numFmtId="49" fontId="6" fillId="4" borderId="8" xfId="1" applyNumberFormat="1" applyFont="1" applyFill="1" applyBorder="1" applyAlignment="1" applyProtection="1">
      <alignment horizontal="right" vertical="center" wrapText="1"/>
      <protection hidden="1"/>
    </xf>
    <xf numFmtId="165" fontId="6" fillId="4" borderId="29" xfId="1" applyNumberFormat="1" applyFont="1" applyFill="1" applyBorder="1" applyAlignment="1" applyProtection="1">
      <alignment horizontal="right" vertical="center"/>
      <protection hidden="1"/>
    </xf>
    <xf numFmtId="166" fontId="10" fillId="2" borderId="8" xfId="1" applyNumberFormat="1" applyFont="1" applyFill="1" applyBorder="1" applyAlignment="1" applyProtection="1">
      <alignment wrapText="1"/>
      <protection hidden="1"/>
    </xf>
    <xf numFmtId="166" fontId="6" fillId="2" borderId="8" xfId="1" applyNumberFormat="1" applyFont="1" applyFill="1" applyBorder="1" applyAlignment="1" applyProtection="1">
      <alignment wrapText="1"/>
      <protection hidden="1"/>
    </xf>
    <xf numFmtId="166" fontId="6" fillId="4" borderId="8" xfId="1" applyNumberFormat="1" applyFont="1" applyFill="1" applyBorder="1" applyAlignment="1" applyProtection="1">
      <alignment wrapText="1"/>
      <protection hidden="1"/>
    </xf>
    <xf numFmtId="166" fontId="10" fillId="4" borderId="8" xfId="1" applyNumberFormat="1" applyFont="1" applyFill="1" applyBorder="1" applyAlignment="1" applyProtection="1">
      <alignment wrapText="1"/>
      <protection hidden="1"/>
    </xf>
    <xf numFmtId="166" fontId="4" fillId="3" borderId="34" xfId="1" applyNumberFormat="1" applyFont="1" applyFill="1" applyBorder="1" applyAlignment="1" applyProtection="1">
      <alignment wrapText="1"/>
      <protection hidden="1"/>
    </xf>
    <xf numFmtId="166" fontId="4" fillId="3" borderId="8" xfId="1" applyNumberFormat="1" applyFont="1" applyFill="1" applyBorder="1" applyAlignment="1" applyProtection="1">
      <alignment wrapText="1"/>
      <protection hidden="1"/>
    </xf>
    <xf numFmtId="166" fontId="10" fillId="3" borderId="34" xfId="1" applyNumberFormat="1" applyFont="1" applyFill="1" applyBorder="1" applyAlignment="1" applyProtection="1">
      <alignment wrapText="1"/>
      <protection hidden="1"/>
    </xf>
    <xf numFmtId="166" fontId="6" fillId="3" borderId="8" xfId="1" applyNumberFormat="1" applyFont="1" applyFill="1" applyBorder="1" applyAlignment="1" applyProtection="1">
      <alignment wrapText="1"/>
      <protection hidden="1"/>
    </xf>
    <xf numFmtId="166" fontId="6" fillId="4" borderId="27" xfId="1" applyNumberFormat="1" applyFont="1" applyFill="1" applyBorder="1" applyAlignment="1" applyProtection="1">
      <alignment horizontal="left" wrapText="1"/>
      <protection hidden="1"/>
    </xf>
    <xf numFmtId="166" fontId="10" fillId="4" borderId="28" xfId="1" applyNumberFormat="1" applyFont="1" applyFill="1" applyBorder="1" applyAlignment="1" applyProtection="1">
      <alignment horizontal="left" wrapText="1"/>
      <protection hidden="1"/>
    </xf>
    <xf numFmtId="166" fontId="10" fillId="4" borderId="29" xfId="1" applyNumberFormat="1" applyFont="1" applyFill="1" applyBorder="1" applyAlignment="1" applyProtection="1">
      <alignment horizontal="left" wrapText="1"/>
      <protection hidden="1"/>
    </xf>
    <xf numFmtId="166" fontId="6" fillId="2" borderId="27" xfId="1" applyNumberFormat="1" applyFont="1" applyFill="1" applyBorder="1" applyAlignment="1" applyProtection="1">
      <alignment wrapText="1"/>
      <protection hidden="1"/>
    </xf>
    <xf numFmtId="166" fontId="6" fillId="2" borderId="28" xfId="1" applyNumberFormat="1" applyFont="1" applyFill="1" applyBorder="1" applyAlignment="1" applyProtection="1">
      <alignment wrapText="1"/>
      <protection hidden="1"/>
    </xf>
    <xf numFmtId="166" fontId="6" fillId="2" borderId="29" xfId="1" applyNumberFormat="1" applyFont="1" applyFill="1" applyBorder="1" applyAlignment="1" applyProtection="1">
      <alignment wrapText="1"/>
      <protection hidden="1"/>
    </xf>
    <xf numFmtId="0" fontId="4" fillId="2" borderId="15" xfId="1" applyNumberFormat="1" applyFont="1" applyFill="1" applyBorder="1" applyAlignment="1" applyProtection="1">
      <alignment horizontal="center" vertical="top" wrapText="1"/>
      <protection hidden="1"/>
    </xf>
    <xf numFmtId="0" fontId="4" fillId="2" borderId="18" xfId="1" applyNumberFormat="1" applyFont="1" applyFill="1" applyBorder="1" applyAlignment="1" applyProtection="1">
      <alignment horizontal="center" vertical="top" wrapText="1"/>
      <protection hidden="1"/>
    </xf>
    <xf numFmtId="0" fontId="4" fillId="2" borderId="16" xfId="1" applyNumberFormat="1" applyFont="1" applyFill="1" applyBorder="1" applyAlignment="1" applyProtection="1">
      <alignment horizontal="center" vertical="top" wrapText="1"/>
      <protection hidden="1"/>
    </xf>
    <xf numFmtId="0" fontId="4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6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9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3" applyFont="1" applyFill="1" applyAlignment="1">
      <alignment horizontal="right"/>
    </xf>
    <xf numFmtId="0" fontId="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3" applyFont="1" applyFill="1" applyAlignment="1"/>
    <xf numFmtId="0" fontId="4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9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41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42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4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7" xfId="1" applyNumberFormat="1" applyFont="1" applyFill="1" applyBorder="1" applyAlignment="1" applyProtection="1">
      <alignment horizontal="center" vertical="top" wrapText="1"/>
      <protection hidden="1"/>
    </xf>
    <xf numFmtId="0" fontId="13" fillId="0" borderId="0" xfId="3" applyFont="1" applyFill="1" applyAlignment="1">
      <alignment horizontal="right"/>
    </xf>
    <xf numFmtId="0" fontId="13" fillId="0" borderId="0" xfId="3" applyFont="1" applyFill="1" applyAlignment="1"/>
    <xf numFmtId="0" fontId="3" fillId="0" borderId="17" xfId="1" applyNumberFormat="1" applyFont="1" applyFill="1" applyBorder="1" applyAlignment="1" applyProtection="1">
      <alignment horizontal="center" vertical="top" wrapText="1"/>
      <protection hidden="1"/>
    </xf>
    <xf numFmtId="0" fontId="3" fillId="0" borderId="6" xfId="1" applyNumberFormat="1" applyFont="1" applyFill="1" applyBorder="1" applyAlignment="1" applyProtection="1">
      <alignment horizontal="center" vertical="top" wrapText="1"/>
      <protection hidden="1"/>
    </xf>
    <xf numFmtId="0" fontId="3" fillId="0" borderId="18" xfId="1" applyNumberFormat="1" applyFont="1" applyFill="1" applyBorder="1" applyAlignment="1" applyProtection="1">
      <alignment horizontal="center" vertical="top" wrapText="1"/>
      <protection hidden="1"/>
    </xf>
    <xf numFmtId="0" fontId="3" fillId="0" borderId="16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8" xfId="1" applyNumberFormat="1" applyFont="1" applyFill="1" applyBorder="1" applyAlignment="1" applyProtection="1">
      <alignment vertical="top" wrapText="1"/>
      <protection hidden="1"/>
    </xf>
    <xf numFmtId="166" fontId="2" fillId="0" borderId="8" xfId="1" applyNumberFormat="1" applyFont="1" applyFill="1" applyBorder="1" applyAlignment="1" applyProtection="1">
      <alignment wrapText="1"/>
      <protection hidden="1"/>
    </xf>
    <xf numFmtId="0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7" xfId="1" applyNumberFormat="1" applyFont="1" applyFill="1" applyBorder="1" applyAlignment="1" applyProtection="1">
      <alignment horizontal="left" vertical="top" wrapText="1"/>
      <protection hidden="1"/>
    </xf>
    <xf numFmtId="166" fontId="2" fillId="0" borderId="28" xfId="1" applyNumberFormat="1" applyFont="1" applyFill="1" applyBorder="1" applyAlignment="1" applyProtection="1">
      <alignment horizontal="left" vertical="top" wrapText="1"/>
      <protection hidden="1"/>
    </xf>
    <xf numFmtId="166" fontId="2" fillId="0" borderId="29" xfId="1" applyNumberFormat="1" applyFont="1" applyFill="1" applyBorder="1" applyAlignment="1" applyProtection="1">
      <alignment horizontal="left" vertical="top" wrapText="1"/>
      <protection hidden="1"/>
    </xf>
    <xf numFmtId="166" fontId="2" fillId="0" borderId="30" xfId="1" applyNumberFormat="1" applyFont="1" applyFill="1" applyBorder="1" applyAlignment="1" applyProtection="1">
      <alignment horizontal="left" vertical="top" wrapText="1"/>
      <protection hidden="1"/>
    </xf>
    <xf numFmtId="166" fontId="2" fillId="0" borderId="31" xfId="1" applyNumberFormat="1" applyFont="1" applyFill="1" applyBorder="1" applyAlignment="1" applyProtection="1">
      <alignment horizontal="left" vertical="top" wrapText="1"/>
      <protection hidden="1"/>
    </xf>
    <xf numFmtId="166" fontId="2" fillId="0" borderId="32" xfId="1" applyNumberFormat="1" applyFont="1" applyFill="1" applyBorder="1" applyAlignment="1" applyProtection="1">
      <alignment horizontal="left" vertical="top" wrapText="1"/>
      <protection hidden="1"/>
    </xf>
    <xf numFmtId="165" fontId="2" fillId="0" borderId="22" xfId="1" applyNumberFormat="1" applyFont="1" applyFill="1" applyBorder="1" applyAlignment="1" applyProtection="1">
      <alignment horizontal="right" vertical="center"/>
      <protection hidden="1"/>
    </xf>
    <xf numFmtId="165" fontId="2" fillId="0" borderId="33" xfId="1" applyNumberFormat="1" applyFont="1" applyFill="1" applyBorder="1" applyAlignment="1" applyProtection="1">
      <alignment horizontal="right" vertical="center"/>
      <protection hidden="1"/>
    </xf>
    <xf numFmtId="49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49" fontId="2" fillId="0" borderId="3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2" xfId="1" applyNumberFormat="1" applyFont="1" applyFill="1" applyBorder="1" applyAlignment="1" applyProtection="1">
      <alignment wrapText="1"/>
      <protection hidden="1"/>
    </xf>
  </cellXfs>
  <cellStyles count="7">
    <cellStyle name="Обычный" xfId="0" builtinId="0"/>
    <cellStyle name="Обычный 2" xfId="1"/>
    <cellStyle name="Обычный 2 2" xfId="5"/>
    <cellStyle name="Обычный 2 2 2" xfId="6"/>
    <cellStyle name="Обычный 3" xfId="4"/>
    <cellStyle name="Обычный 4" xfId="3"/>
    <cellStyle name="Финансовый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9"/>
  <sheetViews>
    <sheetView showGridLines="0" tabSelected="1" view="pageBreakPreview" topLeftCell="A88" zoomScaleNormal="90" zoomScaleSheetLayoutView="100" workbookViewId="0">
      <selection activeCell="Y39" sqref="Y39"/>
    </sheetView>
  </sheetViews>
  <sheetFormatPr defaultColWidth="9.140625" defaultRowHeight="12.75" outlineLevelRow="1" x14ac:dyDescent="0.2"/>
  <cols>
    <col min="1" max="1" width="0.7109375" style="12" customWidth="1"/>
    <col min="2" max="6" width="2.7109375" style="12" hidden="1" customWidth="1"/>
    <col min="7" max="7" width="78.7109375" style="12" customWidth="1"/>
    <col min="8" max="8" width="4.42578125" style="12" customWidth="1"/>
    <col min="9" max="9" width="3.28515625" style="12" customWidth="1"/>
    <col min="10" max="10" width="1.5703125" style="12" customWidth="1"/>
    <col min="11" max="11" width="14.28515625" style="12" customWidth="1"/>
    <col min="12" max="12" width="15.140625" style="12" hidden="1" customWidth="1"/>
    <col min="13" max="13" width="14.28515625" style="12" customWidth="1"/>
    <col min="14" max="14" width="44.7109375" style="70" hidden="1" customWidth="1"/>
    <col min="15" max="15" width="15.140625" style="12" hidden="1" customWidth="1"/>
    <col min="16" max="16" width="14.85546875" style="12" customWidth="1"/>
    <col min="17" max="17" width="70" style="70" hidden="1" customWidth="1"/>
    <col min="18" max="18" width="15.28515625" style="12" hidden="1" customWidth="1"/>
    <col min="19" max="19" width="13.5703125" style="12" customWidth="1"/>
    <col min="20" max="20" width="13.5703125" style="12" hidden="1" customWidth="1"/>
    <col min="21" max="21" width="13.5703125" style="12" customWidth="1"/>
    <col min="22" max="22" width="70" style="70" hidden="1" customWidth="1"/>
    <col min="23" max="24" width="13.5703125" style="12" customWidth="1"/>
    <col min="25" max="25" width="70" style="70" customWidth="1"/>
    <col min="26" max="248" width="9.140625" style="12" customWidth="1"/>
    <col min="249" max="16384" width="9.140625" style="12"/>
  </cols>
  <sheetData>
    <row r="1" spans="1:25" ht="18" customHeight="1" x14ac:dyDescent="0.3">
      <c r="A1" s="68"/>
      <c r="B1" s="68"/>
      <c r="C1" s="68"/>
      <c r="D1" s="68"/>
      <c r="E1" s="68"/>
      <c r="F1" s="68"/>
      <c r="G1" s="69"/>
      <c r="H1" s="68"/>
      <c r="I1" s="68"/>
      <c r="J1" s="68"/>
      <c r="K1" s="68"/>
      <c r="L1" s="68"/>
      <c r="M1" s="68"/>
      <c r="P1" s="181"/>
      <c r="Q1" s="185"/>
      <c r="T1" s="102"/>
      <c r="U1" s="102"/>
      <c r="V1" s="102"/>
      <c r="W1" s="181" t="s">
        <v>387</v>
      </c>
      <c r="X1" s="181"/>
      <c r="Y1" s="181"/>
    </row>
    <row r="2" spans="1:25" ht="18" customHeight="1" x14ac:dyDescent="0.3">
      <c r="A2" s="68"/>
      <c r="B2" s="68"/>
      <c r="C2" s="68"/>
      <c r="D2" s="68"/>
      <c r="E2" s="68"/>
      <c r="F2" s="68"/>
      <c r="G2" s="71"/>
      <c r="H2" s="68"/>
      <c r="I2" s="68"/>
      <c r="J2" s="68"/>
      <c r="K2" s="68"/>
      <c r="L2" s="68"/>
      <c r="M2" s="68"/>
      <c r="P2" s="181"/>
      <c r="Q2" s="185"/>
      <c r="T2" s="102"/>
      <c r="U2" s="102"/>
      <c r="V2" s="102"/>
      <c r="W2" s="181" t="s">
        <v>38</v>
      </c>
      <c r="X2" s="181"/>
      <c r="Y2" s="181"/>
    </row>
    <row r="3" spans="1:25" ht="12.75" customHeight="1" thickBot="1" x14ac:dyDescent="0.3">
      <c r="A3" s="68"/>
      <c r="B3" s="68"/>
      <c r="C3" s="68"/>
      <c r="D3" s="13"/>
      <c r="E3" s="13"/>
      <c r="F3" s="13"/>
      <c r="G3" s="13"/>
      <c r="H3" s="68"/>
      <c r="I3" s="68"/>
      <c r="J3" s="13"/>
      <c r="K3" s="13"/>
      <c r="L3" s="13"/>
      <c r="M3" s="13"/>
      <c r="N3" s="72"/>
      <c r="O3" s="13"/>
      <c r="P3" s="13"/>
      <c r="Q3" s="72"/>
      <c r="R3" s="13"/>
      <c r="S3" s="13"/>
      <c r="T3" s="13"/>
      <c r="U3" s="13"/>
      <c r="V3" s="72"/>
      <c r="W3" s="13"/>
      <c r="X3" s="13"/>
      <c r="Y3" s="72"/>
    </row>
    <row r="4" spans="1:25" ht="37.5" customHeight="1" thickBot="1" x14ac:dyDescent="0.25">
      <c r="A4" s="13"/>
      <c r="B4" s="195" t="s">
        <v>34</v>
      </c>
      <c r="C4" s="169" t="s">
        <v>34</v>
      </c>
      <c r="D4" s="170" t="s">
        <v>34</v>
      </c>
      <c r="E4" s="168" t="s">
        <v>34</v>
      </c>
      <c r="F4" s="168" t="s">
        <v>33</v>
      </c>
      <c r="G4" s="171" t="s">
        <v>35</v>
      </c>
      <c r="H4" s="186" t="s">
        <v>36</v>
      </c>
      <c r="I4" s="187"/>
      <c r="J4" s="172"/>
      <c r="K4" s="172" t="s">
        <v>190</v>
      </c>
      <c r="L4" s="175" t="s">
        <v>188</v>
      </c>
      <c r="M4" s="172" t="s">
        <v>202</v>
      </c>
      <c r="N4" s="89" t="s">
        <v>37</v>
      </c>
      <c r="O4" s="175" t="s">
        <v>188</v>
      </c>
      <c r="P4" s="172" t="s">
        <v>288</v>
      </c>
      <c r="Q4" s="89" t="s">
        <v>37</v>
      </c>
      <c r="R4" s="175" t="s">
        <v>188</v>
      </c>
      <c r="S4" s="175" t="s">
        <v>386</v>
      </c>
      <c r="T4" s="175" t="s">
        <v>188</v>
      </c>
      <c r="U4" s="182" t="s">
        <v>409</v>
      </c>
      <c r="V4" s="192" t="s">
        <v>37</v>
      </c>
      <c r="W4" s="172" t="s">
        <v>188</v>
      </c>
      <c r="X4" s="175" t="s">
        <v>189</v>
      </c>
      <c r="Y4" s="178" t="s">
        <v>37</v>
      </c>
    </row>
    <row r="5" spans="1:25" ht="11.25" customHeight="1" thickBot="1" x14ac:dyDescent="0.25">
      <c r="A5" s="13"/>
      <c r="B5" s="195"/>
      <c r="C5" s="169"/>
      <c r="D5" s="170"/>
      <c r="E5" s="168"/>
      <c r="F5" s="168"/>
      <c r="G5" s="171"/>
      <c r="H5" s="188"/>
      <c r="I5" s="189"/>
      <c r="J5" s="173"/>
      <c r="K5" s="173"/>
      <c r="L5" s="176"/>
      <c r="M5" s="173"/>
      <c r="N5" s="23"/>
      <c r="O5" s="176"/>
      <c r="P5" s="173"/>
      <c r="Q5" s="23"/>
      <c r="R5" s="176"/>
      <c r="S5" s="176"/>
      <c r="T5" s="176"/>
      <c r="U5" s="183"/>
      <c r="V5" s="193"/>
      <c r="W5" s="173"/>
      <c r="X5" s="176"/>
      <c r="Y5" s="179"/>
    </row>
    <row r="6" spans="1:25" ht="35.25" customHeight="1" thickBot="1" x14ac:dyDescent="0.25">
      <c r="A6" s="13"/>
      <c r="B6" s="195"/>
      <c r="C6" s="169"/>
      <c r="D6" s="170"/>
      <c r="E6" s="168"/>
      <c r="F6" s="168"/>
      <c r="G6" s="171"/>
      <c r="H6" s="190"/>
      <c r="I6" s="191"/>
      <c r="J6" s="174"/>
      <c r="K6" s="174"/>
      <c r="L6" s="176"/>
      <c r="M6" s="174"/>
      <c r="N6" s="23"/>
      <c r="O6" s="176"/>
      <c r="P6" s="174"/>
      <c r="Q6" s="23"/>
      <c r="R6" s="177"/>
      <c r="S6" s="177"/>
      <c r="T6" s="177"/>
      <c r="U6" s="184"/>
      <c r="V6" s="194"/>
      <c r="W6" s="174"/>
      <c r="X6" s="177"/>
      <c r="Y6" s="180"/>
    </row>
    <row r="7" spans="1:25" ht="16.5" hidden="1" customHeight="1" x14ac:dyDescent="0.25">
      <c r="A7" s="68"/>
      <c r="B7" s="7" t="s">
        <v>12</v>
      </c>
      <c r="C7" s="8"/>
      <c r="D7" s="9"/>
      <c r="E7" s="10" t="s">
        <v>10</v>
      </c>
      <c r="F7" s="10" t="s">
        <v>13</v>
      </c>
      <c r="G7" s="10" t="s">
        <v>24</v>
      </c>
      <c r="H7" s="11"/>
      <c r="I7" s="11"/>
      <c r="J7" s="11"/>
      <c r="K7" s="10" t="s">
        <v>32</v>
      </c>
      <c r="L7" s="11"/>
      <c r="M7" s="11"/>
      <c r="N7" s="24"/>
      <c r="O7" s="11"/>
      <c r="P7" s="11"/>
      <c r="Q7" s="24"/>
      <c r="R7" s="11"/>
      <c r="S7" s="11"/>
      <c r="T7" s="11"/>
      <c r="U7" s="11"/>
      <c r="V7" s="107"/>
      <c r="W7" s="103"/>
      <c r="X7" s="11"/>
      <c r="Y7" s="24"/>
    </row>
    <row r="8" spans="1:25" s="121" customFormat="1" ht="24.75" customHeight="1" x14ac:dyDescent="0.2">
      <c r="A8" s="114"/>
      <c r="B8" s="158" t="s">
        <v>45</v>
      </c>
      <c r="C8" s="159"/>
      <c r="D8" s="159"/>
      <c r="E8" s="159"/>
      <c r="F8" s="159"/>
      <c r="G8" s="159"/>
      <c r="H8" s="115" t="s">
        <v>9</v>
      </c>
      <c r="I8" s="115" t="s">
        <v>3</v>
      </c>
      <c r="J8" s="115" t="s">
        <v>3</v>
      </c>
      <c r="K8" s="116">
        <f>K9+K11+K13</f>
        <v>35311.300000000003</v>
      </c>
      <c r="L8" s="116">
        <f>L9+L11+L13</f>
        <v>0</v>
      </c>
      <c r="M8" s="116">
        <f>M9+M11+M13</f>
        <v>35311.300000000003</v>
      </c>
      <c r="N8" s="117"/>
      <c r="O8" s="116">
        <f>O9+O11+O13</f>
        <v>-207.7</v>
      </c>
      <c r="P8" s="116">
        <f>P9+P11+P13</f>
        <v>35103.600000000006</v>
      </c>
      <c r="Q8" s="117"/>
      <c r="R8" s="116">
        <f>R9+R11+R13</f>
        <v>1305.1000000000004</v>
      </c>
      <c r="S8" s="116">
        <f>S9+S11+S13</f>
        <v>36408.699999999997</v>
      </c>
      <c r="T8" s="116">
        <f>SUM(T9+T11+T13)</f>
        <v>0</v>
      </c>
      <c r="U8" s="116">
        <f>SUM(S8+T8)</f>
        <v>36408.699999999997</v>
      </c>
      <c r="V8" s="118"/>
      <c r="W8" s="119">
        <f>SUM(W9,W11,W13)</f>
        <v>0</v>
      </c>
      <c r="X8" s="116">
        <f>SUM(U8+W8)</f>
        <v>36408.699999999997</v>
      </c>
      <c r="Y8" s="120"/>
    </row>
    <row r="9" spans="1:25" s="139" customFormat="1" ht="27.75" customHeight="1" x14ac:dyDescent="0.2">
      <c r="A9" s="132"/>
      <c r="B9" s="133"/>
      <c r="C9" s="157" t="s">
        <v>46</v>
      </c>
      <c r="D9" s="156"/>
      <c r="E9" s="156"/>
      <c r="F9" s="156"/>
      <c r="G9" s="156"/>
      <c r="H9" s="134" t="s">
        <v>9</v>
      </c>
      <c r="I9" s="134" t="s">
        <v>12</v>
      </c>
      <c r="J9" s="134" t="s">
        <v>3</v>
      </c>
      <c r="K9" s="135">
        <f>SUM(K10)</f>
        <v>1500</v>
      </c>
      <c r="L9" s="135">
        <f>SUM(L10)</f>
        <v>0</v>
      </c>
      <c r="M9" s="135">
        <f>SUM(M10)</f>
        <v>1500</v>
      </c>
      <c r="N9" s="136"/>
      <c r="O9" s="135">
        <f>SUM(O10)</f>
        <v>0</v>
      </c>
      <c r="P9" s="135">
        <f>SUM(P10)</f>
        <v>1500</v>
      </c>
      <c r="Q9" s="136"/>
      <c r="R9" s="135">
        <f>SUM(R10)</f>
        <v>413.59999999999997</v>
      </c>
      <c r="S9" s="135">
        <f>SUM(S10)</f>
        <v>1913.6</v>
      </c>
      <c r="T9" s="135">
        <f>T10</f>
        <v>0</v>
      </c>
      <c r="U9" s="135">
        <f>SUM(S9+T9)</f>
        <v>1913.6</v>
      </c>
      <c r="V9" s="136"/>
      <c r="W9" s="137">
        <f>SUM(W10)</f>
        <v>0</v>
      </c>
      <c r="X9" s="135">
        <f t="shared" ref="X9:X72" si="0">SUM(U9+W9)</f>
        <v>1913.6</v>
      </c>
      <c r="Y9" s="138"/>
    </row>
    <row r="10" spans="1:25" ht="22.5" hidden="1" outlineLevel="1" x14ac:dyDescent="0.2">
      <c r="A10" s="13"/>
      <c r="B10" s="92"/>
      <c r="C10" s="88"/>
      <c r="D10" s="154" t="s">
        <v>47</v>
      </c>
      <c r="E10" s="155"/>
      <c r="F10" s="155"/>
      <c r="G10" s="155"/>
      <c r="H10" s="15" t="s">
        <v>9</v>
      </c>
      <c r="I10" s="15" t="s">
        <v>12</v>
      </c>
      <c r="J10" s="15" t="s">
        <v>9</v>
      </c>
      <c r="K10" s="29">
        <v>1500</v>
      </c>
      <c r="L10" s="29"/>
      <c r="M10" s="29">
        <f t="shared" ref="M10:M33" si="1">K10+L10</f>
        <v>1500</v>
      </c>
      <c r="N10" s="28"/>
      <c r="O10" s="29"/>
      <c r="P10" s="29">
        <f>M10+O10</f>
        <v>1500</v>
      </c>
      <c r="Q10" s="28"/>
      <c r="R10" s="29">
        <f>12.4-0.7+401.9</f>
        <v>413.59999999999997</v>
      </c>
      <c r="S10" s="29">
        <f>P10+R10</f>
        <v>1913.6</v>
      </c>
      <c r="T10" s="29"/>
      <c r="U10" s="29">
        <f t="shared" ref="U10:U30" si="2">SUM(S10+T10)</f>
        <v>1913.6</v>
      </c>
      <c r="V10" s="28"/>
      <c r="W10" s="104"/>
      <c r="X10" s="29">
        <f t="shared" si="0"/>
        <v>1913.6</v>
      </c>
      <c r="Y10" s="91"/>
    </row>
    <row r="11" spans="1:25" s="139" customFormat="1" ht="21" customHeight="1" collapsed="1" x14ac:dyDescent="0.2">
      <c r="A11" s="132"/>
      <c r="B11" s="133"/>
      <c r="C11" s="157" t="s">
        <v>48</v>
      </c>
      <c r="D11" s="156"/>
      <c r="E11" s="156"/>
      <c r="F11" s="156"/>
      <c r="G11" s="156"/>
      <c r="H11" s="134" t="s">
        <v>9</v>
      </c>
      <c r="I11" s="134" t="s">
        <v>10</v>
      </c>
      <c r="J11" s="134" t="s">
        <v>3</v>
      </c>
      <c r="K11" s="135">
        <f>SUM(K12)</f>
        <v>400</v>
      </c>
      <c r="L11" s="135">
        <f t="shared" ref="L11:S11" si="3">SUM(L12)</f>
        <v>0</v>
      </c>
      <c r="M11" s="135">
        <f t="shared" si="3"/>
        <v>400</v>
      </c>
      <c r="N11" s="136"/>
      <c r="O11" s="135">
        <f t="shared" si="3"/>
        <v>-9.1999999999999993</v>
      </c>
      <c r="P11" s="135">
        <f t="shared" si="3"/>
        <v>390.8</v>
      </c>
      <c r="Q11" s="136" t="s">
        <v>205</v>
      </c>
      <c r="R11" s="135">
        <f>SUM(R12)</f>
        <v>-63.2</v>
      </c>
      <c r="S11" s="135">
        <f t="shared" si="3"/>
        <v>327.60000000000002</v>
      </c>
      <c r="T11" s="135">
        <f>T12</f>
        <v>0</v>
      </c>
      <c r="U11" s="135">
        <f t="shared" si="2"/>
        <v>327.60000000000002</v>
      </c>
      <c r="V11" s="136"/>
      <c r="W11" s="137">
        <f>SUM(W12)</f>
        <v>0</v>
      </c>
      <c r="X11" s="135">
        <f t="shared" si="0"/>
        <v>327.60000000000002</v>
      </c>
      <c r="Y11" s="138"/>
    </row>
    <row r="12" spans="1:25" ht="54" hidden="1" customHeight="1" outlineLevel="1" x14ac:dyDescent="0.2">
      <c r="A12" s="13"/>
      <c r="B12" s="92"/>
      <c r="C12" s="88"/>
      <c r="D12" s="154" t="s">
        <v>49</v>
      </c>
      <c r="E12" s="155"/>
      <c r="F12" s="155"/>
      <c r="G12" s="155"/>
      <c r="H12" s="15" t="s">
        <v>9</v>
      </c>
      <c r="I12" s="15" t="s">
        <v>10</v>
      </c>
      <c r="J12" s="15" t="s">
        <v>9</v>
      </c>
      <c r="K12" s="29">
        <v>400</v>
      </c>
      <c r="L12" s="29"/>
      <c r="M12" s="29">
        <f t="shared" si="1"/>
        <v>400</v>
      </c>
      <c r="N12" s="28"/>
      <c r="O12" s="29">
        <v>-9.1999999999999993</v>
      </c>
      <c r="P12" s="29">
        <f>M12+O12</f>
        <v>390.8</v>
      </c>
      <c r="Q12" s="28" t="s">
        <v>205</v>
      </c>
      <c r="R12" s="29">
        <f>-73.2+10</f>
        <v>-63.2</v>
      </c>
      <c r="S12" s="29">
        <f>P12+R12</f>
        <v>327.60000000000002</v>
      </c>
      <c r="T12" s="29"/>
      <c r="U12" s="29">
        <f t="shared" si="2"/>
        <v>327.60000000000002</v>
      </c>
      <c r="V12" s="28"/>
      <c r="W12" s="104"/>
      <c r="X12" s="29">
        <f t="shared" si="0"/>
        <v>327.60000000000002</v>
      </c>
      <c r="Y12" s="91"/>
    </row>
    <row r="13" spans="1:25" s="139" customFormat="1" ht="24" customHeight="1" collapsed="1" x14ac:dyDescent="0.2">
      <c r="A13" s="132"/>
      <c r="B13" s="133"/>
      <c r="C13" s="157" t="s">
        <v>50</v>
      </c>
      <c r="D13" s="156"/>
      <c r="E13" s="156"/>
      <c r="F13" s="156"/>
      <c r="G13" s="156"/>
      <c r="H13" s="134" t="s">
        <v>9</v>
      </c>
      <c r="I13" s="134" t="s">
        <v>24</v>
      </c>
      <c r="J13" s="134" t="s">
        <v>3</v>
      </c>
      <c r="K13" s="135">
        <f>SUM(K14:K15)</f>
        <v>33411.300000000003</v>
      </c>
      <c r="L13" s="135">
        <f>SUM(L14:L15)</f>
        <v>0</v>
      </c>
      <c r="M13" s="135">
        <f>SUM(M14:M15)</f>
        <v>33411.300000000003</v>
      </c>
      <c r="N13" s="136"/>
      <c r="O13" s="135">
        <f>SUM(O14:O15)</f>
        <v>-198.5</v>
      </c>
      <c r="P13" s="135">
        <f>SUM(P14:P15)</f>
        <v>33212.800000000003</v>
      </c>
      <c r="Q13" s="136" t="s">
        <v>258</v>
      </c>
      <c r="R13" s="135">
        <f>SUM(R14:R15)</f>
        <v>954.70000000000027</v>
      </c>
      <c r="S13" s="135">
        <f>SUM(S14:S15)</f>
        <v>34167.5</v>
      </c>
      <c r="T13" s="135">
        <f>SUM(T14:T15)</f>
        <v>0</v>
      </c>
      <c r="U13" s="135">
        <f t="shared" si="2"/>
        <v>34167.5</v>
      </c>
      <c r="V13" s="136"/>
      <c r="W13" s="137">
        <f>SUM(W14:W15)</f>
        <v>0</v>
      </c>
      <c r="X13" s="135">
        <f t="shared" si="0"/>
        <v>34167.5</v>
      </c>
      <c r="Y13" s="138"/>
    </row>
    <row r="14" spans="1:25" ht="142.5" hidden="1" customHeight="1" outlineLevel="1" x14ac:dyDescent="0.2">
      <c r="A14" s="13"/>
      <c r="B14" s="92"/>
      <c r="C14" s="88"/>
      <c r="D14" s="154" t="s">
        <v>51</v>
      </c>
      <c r="E14" s="155"/>
      <c r="F14" s="155"/>
      <c r="G14" s="155"/>
      <c r="H14" s="15" t="s">
        <v>9</v>
      </c>
      <c r="I14" s="15" t="s">
        <v>24</v>
      </c>
      <c r="J14" s="15" t="s">
        <v>9</v>
      </c>
      <c r="K14" s="29">
        <v>32411.3</v>
      </c>
      <c r="L14" s="29"/>
      <c r="M14" s="29">
        <f t="shared" si="1"/>
        <v>32411.3</v>
      </c>
      <c r="N14" s="28"/>
      <c r="O14" s="29">
        <f>82.3+9.2</f>
        <v>91.5</v>
      </c>
      <c r="P14" s="29">
        <f>M14+O14</f>
        <v>32502.799999999999</v>
      </c>
      <c r="Q14" s="28" t="s">
        <v>212</v>
      </c>
      <c r="R14" s="29">
        <f>12.1+1.8+61+1244.2-201.6+10</f>
        <v>1127.5000000000002</v>
      </c>
      <c r="S14" s="29">
        <f>P14+R14</f>
        <v>33630.300000000003</v>
      </c>
      <c r="T14" s="29"/>
      <c r="U14" s="29">
        <f t="shared" si="2"/>
        <v>33630.300000000003</v>
      </c>
      <c r="V14" s="28"/>
      <c r="W14" s="104"/>
      <c r="X14" s="29">
        <f t="shared" si="0"/>
        <v>33630.300000000003</v>
      </c>
      <c r="Y14" s="91"/>
    </row>
    <row r="15" spans="1:25" ht="37.5" hidden="1" customHeight="1" outlineLevel="1" x14ac:dyDescent="0.2">
      <c r="A15" s="13"/>
      <c r="B15" s="92"/>
      <c r="C15" s="88"/>
      <c r="D15" s="154" t="s">
        <v>52</v>
      </c>
      <c r="E15" s="155"/>
      <c r="F15" s="155"/>
      <c r="G15" s="155"/>
      <c r="H15" s="15" t="s">
        <v>9</v>
      </c>
      <c r="I15" s="15" t="s">
        <v>24</v>
      </c>
      <c r="J15" s="15" t="s">
        <v>8</v>
      </c>
      <c r="K15" s="29">
        <v>1000</v>
      </c>
      <c r="L15" s="29"/>
      <c r="M15" s="29">
        <f t="shared" si="1"/>
        <v>1000</v>
      </c>
      <c r="N15" s="28"/>
      <c r="O15" s="29">
        <f>-90-200</f>
        <v>-290</v>
      </c>
      <c r="P15" s="29">
        <f>M15+O15</f>
        <v>710</v>
      </c>
      <c r="Q15" s="28" t="s">
        <v>257</v>
      </c>
      <c r="R15" s="29">
        <f>-34.5-0.4-137-0.9</f>
        <v>-172.8</v>
      </c>
      <c r="S15" s="29">
        <f>P15+R15</f>
        <v>537.20000000000005</v>
      </c>
      <c r="T15" s="29"/>
      <c r="U15" s="29">
        <f t="shared" si="2"/>
        <v>537.20000000000005</v>
      </c>
      <c r="V15" s="28"/>
      <c r="W15" s="104"/>
      <c r="X15" s="29">
        <f t="shared" si="0"/>
        <v>537.20000000000005</v>
      </c>
      <c r="Y15" s="91"/>
    </row>
    <row r="16" spans="1:25" s="121" customFormat="1" ht="29.25" customHeight="1" collapsed="1" x14ac:dyDescent="0.2">
      <c r="A16" s="114"/>
      <c r="B16" s="158" t="s">
        <v>53</v>
      </c>
      <c r="C16" s="159"/>
      <c r="D16" s="159"/>
      <c r="E16" s="159"/>
      <c r="F16" s="159"/>
      <c r="G16" s="159"/>
      <c r="H16" s="115" t="s">
        <v>8</v>
      </c>
      <c r="I16" s="115" t="s">
        <v>3</v>
      </c>
      <c r="J16" s="115" t="s">
        <v>3</v>
      </c>
      <c r="K16" s="116">
        <f>SUM(K17:K20)</f>
        <v>4346.1000000000004</v>
      </c>
      <c r="L16" s="116">
        <f>SUM(L17:L20)</f>
        <v>0</v>
      </c>
      <c r="M16" s="116">
        <f>SUM(M17:M20)</f>
        <v>4346.1000000000004</v>
      </c>
      <c r="N16" s="117"/>
      <c r="O16" s="116">
        <f>SUM(O17:O20)</f>
        <v>111.49999999999999</v>
      </c>
      <c r="P16" s="116">
        <f>SUM(P17:P20)</f>
        <v>4457.6000000000004</v>
      </c>
      <c r="Q16" s="117" t="s">
        <v>261</v>
      </c>
      <c r="R16" s="116">
        <f>SUM(R17:R20)</f>
        <v>-10.6</v>
      </c>
      <c r="S16" s="116">
        <f>SUM(S17:S20)</f>
        <v>4447</v>
      </c>
      <c r="T16" s="116">
        <f>SUM(T17:T20)</f>
        <v>0</v>
      </c>
      <c r="U16" s="116">
        <f t="shared" si="2"/>
        <v>4447</v>
      </c>
      <c r="V16" s="118"/>
      <c r="W16" s="119">
        <f>SUM(W17:W20)</f>
        <v>-6.2</v>
      </c>
      <c r="X16" s="116">
        <f t="shared" si="0"/>
        <v>4440.8</v>
      </c>
      <c r="Y16" s="120" t="s">
        <v>416</v>
      </c>
    </row>
    <row r="17" spans="1:25" s="123" customFormat="1" ht="30.75" hidden="1" customHeight="1" outlineLevel="1" x14ac:dyDescent="0.2">
      <c r="A17" s="122"/>
      <c r="B17" s="92"/>
      <c r="C17" s="101"/>
      <c r="D17" s="155" t="s">
        <v>54</v>
      </c>
      <c r="E17" s="155"/>
      <c r="F17" s="155"/>
      <c r="G17" s="155"/>
      <c r="H17" s="15" t="s">
        <v>8</v>
      </c>
      <c r="I17" s="15" t="s">
        <v>1</v>
      </c>
      <c r="J17" s="15" t="s">
        <v>9</v>
      </c>
      <c r="K17" s="29">
        <v>3316.1</v>
      </c>
      <c r="L17" s="29"/>
      <c r="M17" s="29">
        <f t="shared" si="1"/>
        <v>3316.1</v>
      </c>
      <c r="N17" s="28"/>
      <c r="O17" s="29">
        <f>123.1-2</f>
        <v>121.1</v>
      </c>
      <c r="P17" s="29">
        <f>M17+O17</f>
        <v>3437.2</v>
      </c>
      <c r="Q17" s="28" t="s">
        <v>259</v>
      </c>
      <c r="R17" s="29"/>
      <c r="S17" s="29">
        <f>P17+R17</f>
        <v>3437.2</v>
      </c>
      <c r="T17" s="29"/>
      <c r="U17" s="29">
        <f t="shared" si="2"/>
        <v>3437.2</v>
      </c>
      <c r="V17" s="28"/>
      <c r="W17" s="104"/>
      <c r="X17" s="29">
        <f t="shared" si="0"/>
        <v>3437.2</v>
      </c>
      <c r="Y17" s="91"/>
    </row>
    <row r="18" spans="1:25" s="123" customFormat="1" ht="36" hidden="1" customHeight="1" outlineLevel="1" x14ac:dyDescent="0.2">
      <c r="A18" s="122"/>
      <c r="B18" s="92"/>
      <c r="C18" s="101"/>
      <c r="D18" s="155" t="s">
        <v>55</v>
      </c>
      <c r="E18" s="155"/>
      <c r="F18" s="155"/>
      <c r="G18" s="155"/>
      <c r="H18" s="15" t="s">
        <v>8</v>
      </c>
      <c r="I18" s="15" t="s">
        <v>1</v>
      </c>
      <c r="J18" s="15" t="s">
        <v>8</v>
      </c>
      <c r="K18" s="29">
        <v>0.5</v>
      </c>
      <c r="L18" s="29"/>
      <c r="M18" s="29">
        <f t="shared" si="1"/>
        <v>0.5</v>
      </c>
      <c r="N18" s="28"/>
      <c r="O18" s="29"/>
      <c r="P18" s="29">
        <f>M18+O18</f>
        <v>0.5</v>
      </c>
      <c r="Q18" s="28"/>
      <c r="R18" s="29"/>
      <c r="S18" s="29">
        <f>P18+R18</f>
        <v>0.5</v>
      </c>
      <c r="T18" s="29"/>
      <c r="U18" s="29">
        <f t="shared" si="2"/>
        <v>0.5</v>
      </c>
      <c r="V18" s="28"/>
      <c r="W18" s="104"/>
      <c r="X18" s="29">
        <f t="shared" si="0"/>
        <v>0.5</v>
      </c>
      <c r="Y18" s="91"/>
    </row>
    <row r="19" spans="1:25" s="123" customFormat="1" ht="21.75" hidden="1" customHeight="1" outlineLevel="1" x14ac:dyDescent="0.2">
      <c r="A19" s="122"/>
      <c r="B19" s="92"/>
      <c r="C19" s="101"/>
      <c r="D19" s="155" t="s">
        <v>56</v>
      </c>
      <c r="E19" s="155"/>
      <c r="F19" s="155"/>
      <c r="G19" s="155"/>
      <c r="H19" s="15" t="s">
        <v>8</v>
      </c>
      <c r="I19" s="15" t="s">
        <v>1</v>
      </c>
      <c r="J19" s="15" t="s">
        <v>16</v>
      </c>
      <c r="K19" s="29">
        <v>1004.5</v>
      </c>
      <c r="L19" s="29"/>
      <c r="M19" s="29">
        <f t="shared" si="1"/>
        <v>1004.5</v>
      </c>
      <c r="N19" s="28"/>
      <c r="O19" s="29">
        <f>-9.1-0.3</f>
        <v>-9.4</v>
      </c>
      <c r="P19" s="29">
        <f>M19+O19</f>
        <v>995.1</v>
      </c>
      <c r="Q19" s="28" t="s">
        <v>260</v>
      </c>
      <c r="R19" s="29">
        <v>-10.6</v>
      </c>
      <c r="S19" s="29">
        <f>P19+R19</f>
        <v>984.5</v>
      </c>
      <c r="T19" s="29"/>
      <c r="U19" s="29">
        <f t="shared" si="2"/>
        <v>984.5</v>
      </c>
      <c r="V19" s="28"/>
      <c r="W19" s="104">
        <v>-6.2</v>
      </c>
      <c r="X19" s="29">
        <f t="shared" si="0"/>
        <v>978.3</v>
      </c>
      <c r="Y19" s="91" t="s">
        <v>416</v>
      </c>
    </row>
    <row r="20" spans="1:25" s="123" customFormat="1" ht="21.75" hidden="1" customHeight="1" outlineLevel="1" x14ac:dyDescent="0.2">
      <c r="A20" s="122"/>
      <c r="B20" s="92"/>
      <c r="C20" s="101"/>
      <c r="D20" s="155" t="s">
        <v>57</v>
      </c>
      <c r="E20" s="155"/>
      <c r="F20" s="155"/>
      <c r="G20" s="155"/>
      <c r="H20" s="15" t="s">
        <v>8</v>
      </c>
      <c r="I20" s="15" t="s">
        <v>1</v>
      </c>
      <c r="J20" s="15" t="s">
        <v>7</v>
      </c>
      <c r="K20" s="29">
        <v>25</v>
      </c>
      <c r="L20" s="29"/>
      <c r="M20" s="29">
        <f t="shared" si="1"/>
        <v>25</v>
      </c>
      <c r="N20" s="28"/>
      <c r="O20" s="29">
        <v>-0.2</v>
      </c>
      <c r="P20" s="29">
        <f>M20+O20</f>
        <v>24.8</v>
      </c>
      <c r="Q20" s="28" t="s">
        <v>219</v>
      </c>
      <c r="R20" s="29"/>
      <c r="S20" s="29">
        <f>P20+R20</f>
        <v>24.8</v>
      </c>
      <c r="T20" s="29"/>
      <c r="U20" s="29">
        <f t="shared" si="2"/>
        <v>24.8</v>
      </c>
      <c r="V20" s="28"/>
      <c r="W20" s="104"/>
      <c r="X20" s="29">
        <f t="shared" si="0"/>
        <v>24.8</v>
      </c>
      <c r="Y20" s="91"/>
    </row>
    <row r="21" spans="1:25" s="121" customFormat="1" ht="34.5" customHeight="1" collapsed="1" x14ac:dyDescent="0.2">
      <c r="A21" s="114"/>
      <c r="B21" s="158" t="s">
        <v>58</v>
      </c>
      <c r="C21" s="159"/>
      <c r="D21" s="159"/>
      <c r="E21" s="159"/>
      <c r="F21" s="159"/>
      <c r="G21" s="159"/>
      <c r="H21" s="115" t="s">
        <v>16</v>
      </c>
      <c r="I21" s="115" t="s">
        <v>3</v>
      </c>
      <c r="J21" s="115" t="s">
        <v>3</v>
      </c>
      <c r="K21" s="116">
        <f>SUM(K22)</f>
        <v>1100</v>
      </c>
      <c r="L21" s="116">
        <f t="shared" ref="L21:S21" si="4">SUM(L22)</f>
        <v>0</v>
      </c>
      <c r="M21" s="116">
        <f t="shared" si="4"/>
        <v>1100</v>
      </c>
      <c r="N21" s="117"/>
      <c r="O21" s="116">
        <f t="shared" si="4"/>
        <v>6910.9</v>
      </c>
      <c r="P21" s="116">
        <f t="shared" si="4"/>
        <v>8010.9</v>
      </c>
      <c r="Q21" s="117" t="s">
        <v>220</v>
      </c>
      <c r="R21" s="116">
        <f t="shared" si="4"/>
        <v>0</v>
      </c>
      <c r="S21" s="116">
        <f t="shared" si="4"/>
        <v>8010.9</v>
      </c>
      <c r="T21" s="116">
        <f>T22</f>
        <v>0</v>
      </c>
      <c r="U21" s="116">
        <f t="shared" si="2"/>
        <v>8010.9</v>
      </c>
      <c r="V21" s="118"/>
      <c r="W21" s="119">
        <f>SUM(W22)</f>
        <v>0</v>
      </c>
      <c r="X21" s="116">
        <f t="shared" si="0"/>
        <v>8010.9</v>
      </c>
      <c r="Y21" s="120"/>
    </row>
    <row r="22" spans="1:25" ht="31.5" hidden="1" customHeight="1" outlineLevel="1" x14ac:dyDescent="0.2">
      <c r="A22" s="13"/>
      <c r="B22" s="92"/>
      <c r="C22" s="88"/>
      <c r="D22" s="154" t="s">
        <v>59</v>
      </c>
      <c r="E22" s="155"/>
      <c r="F22" s="155"/>
      <c r="G22" s="155"/>
      <c r="H22" s="15" t="s">
        <v>16</v>
      </c>
      <c r="I22" s="15" t="s">
        <v>1</v>
      </c>
      <c r="J22" s="15" t="s">
        <v>9</v>
      </c>
      <c r="K22" s="29">
        <v>1100</v>
      </c>
      <c r="L22" s="29"/>
      <c r="M22" s="29">
        <f t="shared" si="1"/>
        <v>1100</v>
      </c>
      <c r="N22" s="28"/>
      <c r="O22" s="29">
        <f>7022.9-112</f>
        <v>6910.9</v>
      </c>
      <c r="P22" s="29">
        <f>M22+O22</f>
        <v>8010.9</v>
      </c>
      <c r="Q22" s="28" t="s">
        <v>220</v>
      </c>
      <c r="R22" s="29"/>
      <c r="S22" s="29">
        <f>P22+R22</f>
        <v>8010.9</v>
      </c>
      <c r="T22" s="29"/>
      <c r="U22" s="29">
        <f t="shared" si="2"/>
        <v>8010.9</v>
      </c>
      <c r="V22" s="28"/>
      <c r="W22" s="104"/>
      <c r="X22" s="29">
        <f t="shared" si="0"/>
        <v>8010.9</v>
      </c>
      <c r="Y22" s="91"/>
    </row>
    <row r="23" spans="1:25" s="126" customFormat="1" ht="24.75" customHeight="1" collapsed="1" x14ac:dyDescent="0.2">
      <c r="A23" s="124"/>
      <c r="B23" s="158" t="s">
        <v>60</v>
      </c>
      <c r="C23" s="159"/>
      <c r="D23" s="159"/>
      <c r="E23" s="159"/>
      <c r="F23" s="159"/>
      <c r="G23" s="159"/>
      <c r="H23" s="115" t="s">
        <v>7</v>
      </c>
      <c r="I23" s="115" t="s">
        <v>3</v>
      </c>
      <c r="J23" s="115" t="s">
        <v>3</v>
      </c>
      <c r="K23" s="116">
        <f>SUM(K24)</f>
        <v>200</v>
      </c>
      <c r="L23" s="116">
        <f t="shared" ref="L23:S23" si="5">SUM(L24)</f>
        <v>0</v>
      </c>
      <c r="M23" s="116">
        <f t="shared" si="5"/>
        <v>200</v>
      </c>
      <c r="N23" s="117"/>
      <c r="O23" s="116">
        <f t="shared" si="5"/>
        <v>0</v>
      </c>
      <c r="P23" s="116">
        <f t="shared" si="5"/>
        <v>200</v>
      </c>
      <c r="Q23" s="117"/>
      <c r="R23" s="116">
        <f t="shared" si="5"/>
        <v>0</v>
      </c>
      <c r="S23" s="116">
        <f t="shared" si="5"/>
        <v>200</v>
      </c>
      <c r="T23" s="116">
        <f>T24</f>
        <v>0</v>
      </c>
      <c r="U23" s="116">
        <f t="shared" si="2"/>
        <v>200</v>
      </c>
      <c r="V23" s="117"/>
      <c r="W23" s="119">
        <f>SUM(W24)</f>
        <v>0</v>
      </c>
      <c r="X23" s="116">
        <f t="shared" si="0"/>
        <v>200</v>
      </c>
      <c r="Y23" s="125"/>
    </row>
    <row r="24" spans="1:25" ht="26.25" hidden="1" customHeight="1" outlineLevel="1" x14ac:dyDescent="0.2">
      <c r="A24" s="13"/>
      <c r="B24" s="92"/>
      <c r="C24" s="88"/>
      <c r="D24" s="154" t="s">
        <v>61</v>
      </c>
      <c r="E24" s="155"/>
      <c r="F24" s="155"/>
      <c r="G24" s="155"/>
      <c r="H24" s="15" t="s">
        <v>7</v>
      </c>
      <c r="I24" s="15" t="s">
        <v>1</v>
      </c>
      <c r="J24" s="15" t="s">
        <v>9</v>
      </c>
      <c r="K24" s="29">
        <v>200</v>
      </c>
      <c r="L24" s="29"/>
      <c r="M24" s="29">
        <f t="shared" si="1"/>
        <v>200</v>
      </c>
      <c r="N24" s="28"/>
      <c r="O24" s="29"/>
      <c r="P24" s="29">
        <f>M24+O24</f>
        <v>200</v>
      </c>
      <c r="Q24" s="28"/>
      <c r="R24" s="29"/>
      <c r="S24" s="29">
        <f>P24+R24</f>
        <v>200</v>
      </c>
      <c r="T24" s="29"/>
      <c r="U24" s="29">
        <f t="shared" si="2"/>
        <v>200</v>
      </c>
      <c r="V24" s="28"/>
      <c r="W24" s="104"/>
      <c r="X24" s="29">
        <f t="shared" si="0"/>
        <v>200</v>
      </c>
      <c r="Y24" s="91"/>
    </row>
    <row r="25" spans="1:25" s="121" customFormat="1" ht="23.25" customHeight="1" collapsed="1" x14ac:dyDescent="0.2">
      <c r="A25" s="114"/>
      <c r="B25" s="158" t="s">
        <v>62</v>
      </c>
      <c r="C25" s="159"/>
      <c r="D25" s="159"/>
      <c r="E25" s="159"/>
      <c r="F25" s="159"/>
      <c r="G25" s="159"/>
      <c r="H25" s="115" t="s">
        <v>6</v>
      </c>
      <c r="I25" s="115" t="s">
        <v>3</v>
      </c>
      <c r="J25" s="115" t="s">
        <v>3</v>
      </c>
      <c r="K25" s="116">
        <f>SUM(K26+K29)</f>
        <v>77465.5</v>
      </c>
      <c r="L25" s="116">
        <f>SUM(L26+L29)</f>
        <v>0</v>
      </c>
      <c r="M25" s="116">
        <f>SUM(M26+M29)</f>
        <v>77465.5</v>
      </c>
      <c r="N25" s="117"/>
      <c r="O25" s="116">
        <f>SUM(O26+O29)</f>
        <v>-2022.4</v>
      </c>
      <c r="P25" s="116">
        <f>SUM(P26+P29)</f>
        <v>75443.100000000006</v>
      </c>
      <c r="Q25" s="117"/>
      <c r="R25" s="116">
        <f>SUM(R26+R29)</f>
        <v>3218.7</v>
      </c>
      <c r="S25" s="116">
        <f>SUM(S26+S29)</f>
        <v>78661.8</v>
      </c>
      <c r="T25" s="116">
        <f>SUM(T26,T29)</f>
        <v>-1524.3</v>
      </c>
      <c r="U25" s="116">
        <f t="shared" si="2"/>
        <v>77137.5</v>
      </c>
      <c r="V25" s="118"/>
      <c r="W25" s="119">
        <f>SUM(W26,W29)</f>
        <v>0</v>
      </c>
      <c r="X25" s="116">
        <f t="shared" si="0"/>
        <v>77137.5</v>
      </c>
      <c r="Y25" s="120"/>
    </row>
    <row r="26" spans="1:25" s="139" customFormat="1" ht="22.5" x14ac:dyDescent="0.2">
      <c r="A26" s="132"/>
      <c r="B26" s="133"/>
      <c r="C26" s="157" t="s">
        <v>63</v>
      </c>
      <c r="D26" s="156"/>
      <c r="E26" s="156"/>
      <c r="F26" s="156"/>
      <c r="G26" s="156"/>
      <c r="H26" s="134" t="s">
        <v>6</v>
      </c>
      <c r="I26" s="134" t="s">
        <v>12</v>
      </c>
      <c r="J26" s="134" t="s">
        <v>3</v>
      </c>
      <c r="K26" s="135">
        <f>SUM(K27:K28)</f>
        <v>73288.5</v>
      </c>
      <c r="L26" s="135">
        <f>SUM(L27:L28)</f>
        <v>0</v>
      </c>
      <c r="M26" s="135">
        <f>SUM(M27:M28)</f>
        <v>73288.5</v>
      </c>
      <c r="N26" s="136"/>
      <c r="O26" s="135">
        <f>SUM(O27:O28)</f>
        <v>-522.4</v>
      </c>
      <c r="P26" s="135">
        <f>SUM(P27:P28)</f>
        <v>72766.100000000006</v>
      </c>
      <c r="Q26" s="136" t="s">
        <v>221</v>
      </c>
      <c r="R26" s="135">
        <f>SUM(R27:R28)</f>
        <v>3218.7</v>
      </c>
      <c r="S26" s="135">
        <f>SUM(S27:S28)</f>
        <v>75984.800000000003</v>
      </c>
      <c r="T26" s="135">
        <f>SUM(T27,T28)</f>
        <v>0</v>
      </c>
      <c r="U26" s="135">
        <f t="shared" si="2"/>
        <v>75984.800000000003</v>
      </c>
      <c r="V26" s="136"/>
      <c r="W26" s="137">
        <f>SUM(W27:W28)</f>
        <v>0</v>
      </c>
      <c r="X26" s="135">
        <f t="shared" si="0"/>
        <v>75984.800000000003</v>
      </c>
      <c r="Y26" s="138"/>
    </row>
    <row r="27" spans="1:25" ht="22.5" hidden="1" outlineLevel="1" x14ac:dyDescent="0.2">
      <c r="A27" s="13"/>
      <c r="B27" s="92"/>
      <c r="C27" s="88"/>
      <c r="D27" s="154" t="s">
        <v>64</v>
      </c>
      <c r="E27" s="155"/>
      <c r="F27" s="155"/>
      <c r="G27" s="155"/>
      <c r="H27" s="15" t="s">
        <v>6</v>
      </c>
      <c r="I27" s="15" t="s">
        <v>12</v>
      </c>
      <c r="J27" s="15" t="s">
        <v>9</v>
      </c>
      <c r="K27" s="29">
        <v>30302.7</v>
      </c>
      <c r="L27" s="29"/>
      <c r="M27" s="29">
        <f t="shared" si="1"/>
        <v>30302.7</v>
      </c>
      <c r="N27" s="28"/>
      <c r="O27" s="29">
        <v>-351.5</v>
      </c>
      <c r="P27" s="29">
        <f>M27+O27</f>
        <v>29951.200000000001</v>
      </c>
      <c r="Q27" s="28" t="s">
        <v>222</v>
      </c>
      <c r="R27" s="29">
        <f>2457.6-100+567</f>
        <v>2924.6</v>
      </c>
      <c r="S27" s="29">
        <f>P27+R27</f>
        <v>32875.800000000003</v>
      </c>
      <c r="T27" s="29"/>
      <c r="U27" s="29">
        <f t="shared" si="2"/>
        <v>32875.800000000003</v>
      </c>
      <c r="V27" s="108"/>
      <c r="W27" s="104"/>
      <c r="X27" s="29">
        <f t="shared" si="0"/>
        <v>32875.800000000003</v>
      </c>
      <c r="Y27" s="93"/>
    </row>
    <row r="28" spans="1:25" ht="22.5" hidden="1" outlineLevel="1" x14ac:dyDescent="0.2">
      <c r="A28" s="13"/>
      <c r="B28" s="92"/>
      <c r="C28" s="88"/>
      <c r="D28" s="154" t="s">
        <v>65</v>
      </c>
      <c r="E28" s="155"/>
      <c r="F28" s="155"/>
      <c r="G28" s="155"/>
      <c r="H28" s="15" t="s">
        <v>6</v>
      </c>
      <c r="I28" s="15" t="s">
        <v>12</v>
      </c>
      <c r="J28" s="15" t="s">
        <v>8</v>
      </c>
      <c r="K28" s="29">
        <v>42985.8</v>
      </c>
      <c r="L28" s="29"/>
      <c r="M28" s="29">
        <f t="shared" si="1"/>
        <v>42985.8</v>
      </c>
      <c r="N28" s="28"/>
      <c r="O28" s="29">
        <v>-170.9</v>
      </c>
      <c r="P28" s="29">
        <f>M28+O28</f>
        <v>42814.9</v>
      </c>
      <c r="Q28" s="28" t="s">
        <v>223</v>
      </c>
      <c r="R28" s="29">
        <f>-78.7+39.2+333.6</f>
        <v>294.10000000000002</v>
      </c>
      <c r="S28" s="29">
        <f>P28+R28</f>
        <v>43109</v>
      </c>
      <c r="T28" s="29"/>
      <c r="U28" s="29">
        <f t="shared" si="2"/>
        <v>43109</v>
      </c>
      <c r="V28" s="28"/>
      <c r="W28" s="104"/>
      <c r="X28" s="29">
        <f t="shared" si="0"/>
        <v>43109</v>
      </c>
      <c r="Y28" s="91"/>
    </row>
    <row r="29" spans="1:25" s="139" customFormat="1" ht="21" customHeight="1" collapsed="1" x14ac:dyDescent="0.2">
      <c r="A29" s="132"/>
      <c r="B29" s="133"/>
      <c r="C29" s="157" t="s">
        <v>66</v>
      </c>
      <c r="D29" s="156"/>
      <c r="E29" s="156"/>
      <c r="F29" s="156"/>
      <c r="G29" s="156"/>
      <c r="H29" s="134" t="s">
        <v>6</v>
      </c>
      <c r="I29" s="134" t="s">
        <v>10</v>
      </c>
      <c r="J29" s="134" t="s">
        <v>3</v>
      </c>
      <c r="K29" s="135">
        <v>4177</v>
      </c>
      <c r="L29" s="135"/>
      <c r="M29" s="135">
        <f t="shared" si="1"/>
        <v>4177</v>
      </c>
      <c r="N29" s="136"/>
      <c r="O29" s="135">
        <v>-1500</v>
      </c>
      <c r="P29" s="135">
        <f>M29+O29</f>
        <v>2677</v>
      </c>
      <c r="Q29" s="136" t="s">
        <v>262</v>
      </c>
      <c r="R29" s="135"/>
      <c r="S29" s="135">
        <f>P29+R29</f>
        <v>2677</v>
      </c>
      <c r="T29" s="135">
        <v>-1524.3</v>
      </c>
      <c r="U29" s="135">
        <f t="shared" si="2"/>
        <v>1152.7</v>
      </c>
      <c r="V29" s="136" t="s">
        <v>403</v>
      </c>
      <c r="W29" s="137"/>
      <c r="X29" s="135">
        <f t="shared" si="0"/>
        <v>1152.7</v>
      </c>
      <c r="Y29" s="138"/>
    </row>
    <row r="30" spans="1:25" s="121" customFormat="1" ht="27" customHeight="1" x14ac:dyDescent="0.2">
      <c r="A30" s="114"/>
      <c r="B30" s="158" t="s">
        <v>67</v>
      </c>
      <c r="C30" s="159"/>
      <c r="D30" s="159"/>
      <c r="E30" s="159"/>
      <c r="F30" s="159"/>
      <c r="G30" s="159"/>
      <c r="H30" s="115" t="s">
        <v>5</v>
      </c>
      <c r="I30" s="115" t="s">
        <v>3</v>
      </c>
      <c r="J30" s="115" t="s">
        <v>3</v>
      </c>
      <c r="K30" s="116">
        <f>K31+K36+K39</f>
        <v>368178.9</v>
      </c>
      <c r="L30" s="116">
        <f>L31+L36+L39</f>
        <v>1647.1</v>
      </c>
      <c r="M30" s="116">
        <f>M31+M36+M39</f>
        <v>369826</v>
      </c>
      <c r="N30" s="117"/>
      <c r="O30" s="116">
        <f>O31+O36+O39</f>
        <v>12700.699999999999</v>
      </c>
      <c r="P30" s="116">
        <f>P31+P36+P39</f>
        <v>382526.7</v>
      </c>
      <c r="Q30" s="117"/>
      <c r="R30" s="116">
        <f>R31+R36+R39</f>
        <v>11069.2</v>
      </c>
      <c r="S30" s="116">
        <f>S31+S36+S39</f>
        <v>393595.89999999997</v>
      </c>
      <c r="T30" s="116"/>
      <c r="U30" s="116">
        <f t="shared" si="2"/>
        <v>393595.89999999997</v>
      </c>
      <c r="V30" s="127"/>
      <c r="W30" s="119">
        <f>SUM(W31,W36,W39)</f>
        <v>949.8</v>
      </c>
      <c r="X30" s="116">
        <f t="shared" si="0"/>
        <v>394545.69999999995</v>
      </c>
      <c r="Y30" s="128"/>
    </row>
    <row r="31" spans="1:25" s="139" customFormat="1" ht="30" customHeight="1" x14ac:dyDescent="0.2">
      <c r="A31" s="132"/>
      <c r="B31" s="133"/>
      <c r="C31" s="157" t="s">
        <v>68</v>
      </c>
      <c r="D31" s="156"/>
      <c r="E31" s="156"/>
      <c r="F31" s="156"/>
      <c r="G31" s="156"/>
      <c r="H31" s="134" t="s">
        <v>5</v>
      </c>
      <c r="I31" s="134" t="s">
        <v>12</v>
      </c>
      <c r="J31" s="134" t="s">
        <v>3</v>
      </c>
      <c r="K31" s="135">
        <f>SUM(K32:K35)</f>
        <v>9017.9</v>
      </c>
      <c r="L31" s="135">
        <f>SUM(L32:L35)</f>
        <v>1647.1</v>
      </c>
      <c r="M31" s="135">
        <f>SUM(M32:M35)</f>
        <v>10665</v>
      </c>
      <c r="N31" s="136" t="s">
        <v>193</v>
      </c>
      <c r="O31" s="135">
        <f>SUM(O32:O35)</f>
        <v>-1353.2</v>
      </c>
      <c r="P31" s="135">
        <f>SUM(P32:P35)</f>
        <v>9311.8000000000011</v>
      </c>
      <c r="Q31" s="136" t="s">
        <v>271</v>
      </c>
      <c r="R31" s="135">
        <f>SUM(R32:R35)</f>
        <v>1521.5</v>
      </c>
      <c r="S31" s="135">
        <f>SUM(S32:S35)</f>
        <v>10833.300000000001</v>
      </c>
      <c r="T31" s="135"/>
      <c r="U31" s="135">
        <f t="shared" ref="U31:U46" si="6">SUM(S31+T31)</f>
        <v>10833.300000000001</v>
      </c>
      <c r="V31" s="136"/>
      <c r="W31" s="137">
        <f>SUM(W32:W35)</f>
        <v>0</v>
      </c>
      <c r="X31" s="135">
        <f t="shared" si="0"/>
        <v>10833.300000000001</v>
      </c>
      <c r="Y31" s="138"/>
    </row>
    <row r="32" spans="1:25" ht="29.25" hidden="1" customHeight="1" outlineLevel="1" x14ac:dyDescent="0.2">
      <c r="A32" s="13"/>
      <c r="B32" s="92"/>
      <c r="C32" s="88"/>
      <c r="D32" s="154" t="s">
        <v>69</v>
      </c>
      <c r="E32" s="155"/>
      <c r="F32" s="155"/>
      <c r="G32" s="155"/>
      <c r="H32" s="15" t="s">
        <v>5</v>
      </c>
      <c r="I32" s="15" t="s">
        <v>12</v>
      </c>
      <c r="J32" s="15" t="s">
        <v>9</v>
      </c>
      <c r="K32" s="29">
        <v>1289.5</v>
      </c>
      <c r="L32" s="29"/>
      <c r="M32" s="29">
        <f t="shared" si="1"/>
        <v>1289.5</v>
      </c>
      <c r="N32" s="28"/>
      <c r="O32" s="29"/>
      <c r="P32" s="29">
        <f>M32+O32</f>
        <v>1289.5</v>
      </c>
      <c r="Q32" s="28"/>
      <c r="R32" s="29">
        <v>22.2</v>
      </c>
      <c r="S32" s="29">
        <f>P32+R32</f>
        <v>1311.7</v>
      </c>
      <c r="T32" s="29"/>
      <c r="U32" s="29">
        <f t="shared" si="6"/>
        <v>1311.7</v>
      </c>
      <c r="V32" s="28"/>
      <c r="W32" s="104"/>
      <c r="X32" s="29">
        <f t="shared" si="0"/>
        <v>1311.7</v>
      </c>
      <c r="Y32" s="91"/>
    </row>
    <row r="33" spans="1:25" ht="39.75" hidden="1" customHeight="1" outlineLevel="1" x14ac:dyDescent="0.2">
      <c r="A33" s="13"/>
      <c r="B33" s="92"/>
      <c r="C33" s="88"/>
      <c r="D33" s="154" t="s">
        <v>70</v>
      </c>
      <c r="E33" s="155"/>
      <c r="F33" s="155"/>
      <c r="G33" s="155"/>
      <c r="H33" s="15" t="s">
        <v>5</v>
      </c>
      <c r="I33" s="15" t="s">
        <v>12</v>
      </c>
      <c r="J33" s="15" t="s">
        <v>8</v>
      </c>
      <c r="K33" s="29">
        <v>146.30000000000001</v>
      </c>
      <c r="L33" s="29"/>
      <c r="M33" s="29">
        <f t="shared" si="1"/>
        <v>146.30000000000001</v>
      </c>
      <c r="N33" s="28"/>
      <c r="O33" s="29">
        <f>4.8+50+130</f>
        <v>184.8</v>
      </c>
      <c r="P33" s="29">
        <f>M33+O33</f>
        <v>331.1</v>
      </c>
      <c r="Q33" s="28" t="s">
        <v>243</v>
      </c>
      <c r="R33" s="29">
        <v>-4.8</v>
      </c>
      <c r="S33" s="29">
        <f>P33+R33</f>
        <v>326.3</v>
      </c>
      <c r="T33" s="29"/>
      <c r="U33" s="29">
        <f t="shared" si="6"/>
        <v>326.3</v>
      </c>
      <c r="V33" s="28"/>
      <c r="W33" s="104"/>
      <c r="X33" s="29">
        <f t="shared" si="0"/>
        <v>326.3</v>
      </c>
      <c r="Y33" s="91"/>
    </row>
    <row r="34" spans="1:25" ht="35.25" hidden="1" customHeight="1" outlineLevel="1" x14ac:dyDescent="0.2">
      <c r="A34" s="13"/>
      <c r="B34" s="92"/>
      <c r="C34" s="88"/>
      <c r="D34" s="154" t="s">
        <v>71</v>
      </c>
      <c r="E34" s="155"/>
      <c r="F34" s="155"/>
      <c r="G34" s="155"/>
      <c r="H34" s="15" t="s">
        <v>5</v>
      </c>
      <c r="I34" s="15" t="s">
        <v>12</v>
      </c>
      <c r="J34" s="15" t="s">
        <v>16</v>
      </c>
      <c r="K34" s="29">
        <v>7282.1</v>
      </c>
      <c r="L34" s="29">
        <f>647.1+1000</f>
        <v>1647.1</v>
      </c>
      <c r="M34" s="29">
        <f t="shared" ref="M34:M49" si="7">K34+L34</f>
        <v>8929.2000000000007</v>
      </c>
      <c r="N34" s="28" t="s">
        <v>194</v>
      </c>
      <c r="O34" s="29">
        <f>246-240.9-194.5+247.7-80-270-1246.3</f>
        <v>-1538</v>
      </c>
      <c r="P34" s="29">
        <f>M34+O34</f>
        <v>7391.2000000000007</v>
      </c>
      <c r="Q34" s="28" t="s">
        <v>269</v>
      </c>
      <c r="R34" s="29">
        <f>1000+77.6+479.6-73.5-2.8</f>
        <v>1480.8999999999999</v>
      </c>
      <c r="S34" s="29">
        <f>P34+R34</f>
        <v>8872.1</v>
      </c>
      <c r="T34" s="29"/>
      <c r="U34" s="29">
        <f t="shared" si="6"/>
        <v>8872.1</v>
      </c>
      <c r="V34" s="28"/>
      <c r="W34" s="104"/>
      <c r="X34" s="29">
        <f t="shared" si="0"/>
        <v>8872.1</v>
      </c>
      <c r="Y34" s="91"/>
    </row>
    <row r="35" spans="1:25" ht="41.25" hidden="1" customHeight="1" outlineLevel="1" x14ac:dyDescent="0.2">
      <c r="A35" s="13"/>
      <c r="B35" s="92"/>
      <c r="C35" s="88"/>
      <c r="D35" s="154" t="s">
        <v>72</v>
      </c>
      <c r="E35" s="155"/>
      <c r="F35" s="155"/>
      <c r="G35" s="155"/>
      <c r="H35" s="15" t="s">
        <v>5</v>
      </c>
      <c r="I35" s="15" t="s">
        <v>12</v>
      </c>
      <c r="J35" s="15" t="s">
        <v>7</v>
      </c>
      <c r="K35" s="29">
        <v>300</v>
      </c>
      <c r="L35" s="29"/>
      <c r="M35" s="29">
        <f t="shared" si="7"/>
        <v>300</v>
      </c>
      <c r="N35" s="28"/>
      <c r="O35" s="29"/>
      <c r="P35" s="29">
        <f>M35+O35</f>
        <v>300</v>
      </c>
      <c r="Q35" s="28"/>
      <c r="R35" s="29">
        <v>23.2</v>
      </c>
      <c r="S35" s="29">
        <f>P35+R35</f>
        <v>323.2</v>
      </c>
      <c r="T35" s="29"/>
      <c r="U35" s="29">
        <f t="shared" si="6"/>
        <v>323.2</v>
      </c>
      <c r="V35" s="28"/>
      <c r="W35" s="104"/>
      <c r="X35" s="29">
        <f t="shared" si="0"/>
        <v>323.2</v>
      </c>
      <c r="Y35" s="91"/>
    </row>
    <row r="36" spans="1:25" s="139" customFormat="1" ht="24" customHeight="1" collapsed="1" x14ac:dyDescent="0.2">
      <c r="A36" s="132"/>
      <c r="B36" s="133"/>
      <c r="C36" s="157" t="s">
        <v>73</v>
      </c>
      <c r="D36" s="156"/>
      <c r="E36" s="156"/>
      <c r="F36" s="156"/>
      <c r="G36" s="156"/>
      <c r="H36" s="134" t="s">
        <v>5</v>
      </c>
      <c r="I36" s="134" t="s">
        <v>10</v>
      </c>
      <c r="J36" s="134" t="s">
        <v>3</v>
      </c>
      <c r="K36" s="135">
        <f>SUM(K37:K38)</f>
        <v>6275</v>
      </c>
      <c r="L36" s="135">
        <f>SUM(L37:L38)</f>
        <v>0</v>
      </c>
      <c r="M36" s="135">
        <f>SUM(M37:M38)</f>
        <v>6275</v>
      </c>
      <c r="N36" s="136"/>
      <c r="O36" s="135">
        <f>SUM(O37:O38)</f>
        <v>151.10000000000008</v>
      </c>
      <c r="P36" s="135">
        <f>SUM(P37:P38)</f>
        <v>6426.1</v>
      </c>
      <c r="Q36" s="136" t="s">
        <v>287</v>
      </c>
      <c r="R36" s="135">
        <f>SUM(R37:R38)</f>
        <v>813.1</v>
      </c>
      <c r="S36" s="135">
        <f>SUM(S37:S38)</f>
        <v>7239.2000000000007</v>
      </c>
      <c r="T36" s="135"/>
      <c r="U36" s="135">
        <f t="shared" si="6"/>
        <v>7239.2000000000007</v>
      </c>
      <c r="V36" s="136"/>
      <c r="W36" s="137">
        <f>SUM(W37:W38)</f>
        <v>0</v>
      </c>
      <c r="X36" s="135">
        <f t="shared" si="0"/>
        <v>7239.2000000000007</v>
      </c>
      <c r="Y36" s="138"/>
    </row>
    <row r="37" spans="1:25" ht="45" hidden="1" customHeight="1" outlineLevel="1" x14ac:dyDescent="0.2">
      <c r="A37" s="13"/>
      <c r="B37" s="92"/>
      <c r="C37" s="88"/>
      <c r="D37" s="154" t="s">
        <v>74</v>
      </c>
      <c r="E37" s="155"/>
      <c r="F37" s="155"/>
      <c r="G37" s="155"/>
      <c r="H37" s="15" t="s">
        <v>5</v>
      </c>
      <c r="I37" s="15" t="s">
        <v>10</v>
      </c>
      <c r="J37" s="15" t="s">
        <v>9</v>
      </c>
      <c r="K37" s="29">
        <v>500</v>
      </c>
      <c r="L37" s="29"/>
      <c r="M37" s="29">
        <f t="shared" si="7"/>
        <v>500</v>
      </c>
      <c r="N37" s="28"/>
      <c r="O37" s="29">
        <v>-137.19999999999999</v>
      </c>
      <c r="P37" s="29">
        <f>M37+O37</f>
        <v>362.8</v>
      </c>
      <c r="Q37" s="28" t="s">
        <v>229</v>
      </c>
      <c r="R37" s="29"/>
      <c r="S37" s="29">
        <f>P37+R37</f>
        <v>362.8</v>
      </c>
      <c r="T37" s="29"/>
      <c r="U37" s="29">
        <f t="shared" si="6"/>
        <v>362.8</v>
      </c>
      <c r="V37" s="28"/>
      <c r="W37" s="104"/>
      <c r="X37" s="29">
        <f t="shared" si="0"/>
        <v>362.8</v>
      </c>
      <c r="Y37" s="91"/>
    </row>
    <row r="38" spans="1:25" ht="64.5" hidden="1" customHeight="1" outlineLevel="1" x14ac:dyDescent="0.2">
      <c r="A38" s="13"/>
      <c r="B38" s="92"/>
      <c r="C38" s="88"/>
      <c r="D38" s="154" t="s">
        <v>75</v>
      </c>
      <c r="E38" s="155"/>
      <c r="F38" s="155"/>
      <c r="G38" s="155"/>
      <c r="H38" s="15" t="s">
        <v>5</v>
      </c>
      <c r="I38" s="15" t="s">
        <v>10</v>
      </c>
      <c r="J38" s="15" t="s">
        <v>8</v>
      </c>
      <c r="K38" s="29">
        <v>5775</v>
      </c>
      <c r="L38" s="29"/>
      <c r="M38" s="29">
        <f t="shared" si="7"/>
        <v>5775</v>
      </c>
      <c r="N38" s="28"/>
      <c r="O38" s="29">
        <f>500+100+30+194.5-355.8+690-870.4</f>
        <v>288.30000000000007</v>
      </c>
      <c r="P38" s="29">
        <f>M38+O38</f>
        <v>6063.3</v>
      </c>
      <c r="Q38" s="28" t="s">
        <v>268</v>
      </c>
      <c r="R38" s="29">
        <f>38+73.5+270+450-18.4</f>
        <v>813.1</v>
      </c>
      <c r="S38" s="29">
        <f>P38+R38</f>
        <v>6876.4000000000005</v>
      </c>
      <c r="T38" s="29"/>
      <c r="U38" s="29">
        <f t="shared" si="6"/>
        <v>6876.4000000000005</v>
      </c>
      <c r="V38" s="28"/>
      <c r="W38" s="104"/>
      <c r="X38" s="29">
        <f t="shared" si="0"/>
        <v>6876.4000000000005</v>
      </c>
      <c r="Y38" s="91"/>
    </row>
    <row r="39" spans="1:25" s="139" customFormat="1" ht="37.5" customHeight="1" collapsed="1" x14ac:dyDescent="0.2">
      <c r="A39" s="132"/>
      <c r="B39" s="133"/>
      <c r="C39" s="157" t="s">
        <v>76</v>
      </c>
      <c r="D39" s="156"/>
      <c r="E39" s="156"/>
      <c r="F39" s="156"/>
      <c r="G39" s="156"/>
      <c r="H39" s="134" t="s">
        <v>5</v>
      </c>
      <c r="I39" s="134" t="s">
        <v>24</v>
      </c>
      <c r="J39" s="134" t="s">
        <v>3</v>
      </c>
      <c r="K39" s="135">
        <f>SUM(K40:K41)</f>
        <v>352886</v>
      </c>
      <c r="L39" s="135">
        <f>SUM(L40:L41)</f>
        <v>0</v>
      </c>
      <c r="M39" s="135">
        <f>SUM(M40:M41)</f>
        <v>352886</v>
      </c>
      <c r="N39" s="136"/>
      <c r="O39" s="135">
        <f>SUM(O40:O41)</f>
        <v>13902.8</v>
      </c>
      <c r="P39" s="135">
        <f>SUM(P40:P41)</f>
        <v>366788.8</v>
      </c>
      <c r="Q39" s="136" t="s">
        <v>272</v>
      </c>
      <c r="R39" s="135">
        <f>SUM(R40:R41)</f>
        <v>8734.6</v>
      </c>
      <c r="S39" s="135">
        <f>SUM(S40:S41)</f>
        <v>375523.39999999997</v>
      </c>
      <c r="T39" s="135"/>
      <c r="U39" s="135">
        <f t="shared" si="6"/>
        <v>375523.39999999997</v>
      </c>
      <c r="V39" s="136"/>
      <c r="W39" s="137">
        <f>SUM(W40:W41)</f>
        <v>949.8</v>
      </c>
      <c r="X39" s="135">
        <f t="shared" si="0"/>
        <v>376473.19999999995</v>
      </c>
      <c r="Y39" s="91" t="s">
        <v>427</v>
      </c>
    </row>
    <row r="40" spans="1:25" ht="39.75" hidden="1" customHeight="1" outlineLevel="1" x14ac:dyDescent="0.2">
      <c r="A40" s="13"/>
      <c r="B40" s="92"/>
      <c r="C40" s="88"/>
      <c r="D40" s="154" t="s">
        <v>77</v>
      </c>
      <c r="E40" s="155"/>
      <c r="F40" s="155"/>
      <c r="G40" s="155"/>
      <c r="H40" s="15" t="s">
        <v>5</v>
      </c>
      <c r="I40" s="15" t="s">
        <v>24</v>
      </c>
      <c r="J40" s="15" t="s">
        <v>9</v>
      </c>
      <c r="K40" s="29">
        <v>351198.5</v>
      </c>
      <c r="L40" s="29"/>
      <c r="M40" s="29">
        <f t="shared" si="7"/>
        <v>351198.5</v>
      </c>
      <c r="N40" s="28"/>
      <c r="O40" s="29">
        <f>-34.8-130+9655.6-247.7+3956.4-50+803.3-50</f>
        <v>13902.8</v>
      </c>
      <c r="P40" s="29">
        <f>M40+O40</f>
        <v>365101.3</v>
      </c>
      <c r="Q40" s="28" t="s">
        <v>270</v>
      </c>
      <c r="R40" s="29">
        <f>-137.8-4060+26533+1957.6+866.9-16160.9+59.4+1258.7+2.8+102.4</f>
        <v>10422.1</v>
      </c>
      <c r="S40" s="29">
        <f>P40+R40</f>
        <v>375523.39999999997</v>
      </c>
      <c r="T40" s="29"/>
      <c r="U40" s="29">
        <f t="shared" si="6"/>
        <v>375523.39999999997</v>
      </c>
      <c r="V40" s="28"/>
      <c r="W40" s="104">
        <v>949.8</v>
      </c>
      <c r="X40" s="29">
        <f t="shared" si="0"/>
        <v>376473.19999999995</v>
      </c>
      <c r="Y40" s="91" t="s">
        <v>427</v>
      </c>
    </row>
    <row r="41" spans="1:25" ht="21.75" hidden="1" customHeight="1" outlineLevel="1" x14ac:dyDescent="0.2">
      <c r="A41" s="13"/>
      <c r="B41" s="92"/>
      <c r="C41" s="88"/>
      <c r="D41" s="154" t="s">
        <v>78</v>
      </c>
      <c r="E41" s="155"/>
      <c r="F41" s="155"/>
      <c r="G41" s="155"/>
      <c r="H41" s="15" t="s">
        <v>5</v>
      </c>
      <c r="I41" s="15" t="s">
        <v>24</v>
      </c>
      <c r="J41" s="15" t="s">
        <v>8</v>
      </c>
      <c r="K41" s="29">
        <v>1687.5</v>
      </c>
      <c r="L41" s="29"/>
      <c r="M41" s="29">
        <f t="shared" si="7"/>
        <v>1687.5</v>
      </c>
      <c r="N41" s="28"/>
      <c r="O41" s="29"/>
      <c r="P41" s="29">
        <f>M41+O41</f>
        <v>1687.5</v>
      </c>
      <c r="Q41" s="28"/>
      <c r="R41" s="29">
        <v>-1687.5</v>
      </c>
      <c r="S41" s="29">
        <f>P41+R41</f>
        <v>0</v>
      </c>
      <c r="T41" s="29"/>
      <c r="U41" s="29">
        <f t="shared" si="6"/>
        <v>0</v>
      </c>
      <c r="V41" s="28"/>
      <c r="W41" s="104"/>
      <c r="X41" s="29">
        <f t="shared" si="0"/>
        <v>0</v>
      </c>
      <c r="Y41" s="91"/>
    </row>
    <row r="42" spans="1:25" s="121" customFormat="1" ht="27.75" customHeight="1" collapsed="1" x14ac:dyDescent="0.2">
      <c r="A42" s="114"/>
      <c r="B42" s="158" t="s">
        <v>79</v>
      </c>
      <c r="C42" s="159"/>
      <c r="D42" s="159"/>
      <c r="E42" s="159"/>
      <c r="F42" s="159"/>
      <c r="G42" s="159"/>
      <c r="H42" s="115" t="s">
        <v>0</v>
      </c>
      <c r="I42" s="115" t="s">
        <v>3</v>
      </c>
      <c r="J42" s="115" t="s">
        <v>3</v>
      </c>
      <c r="K42" s="116">
        <f>SUM(K43)</f>
        <v>500</v>
      </c>
      <c r="L42" s="116">
        <f t="shared" ref="L42:S42" si="8">SUM(L43)</f>
        <v>0</v>
      </c>
      <c r="M42" s="116">
        <f t="shared" si="8"/>
        <v>500</v>
      </c>
      <c r="N42" s="117"/>
      <c r="O42" s="116">
        <f t="shared" si="8"/>
        <v>-50</v>
      </c>
      <c r="P42" s="116">
        <f t="shared" si="8"/>
        <v>450</v>
      </c>
      <c r="Q42" s="117" t="s">
        <v>224</v>
      </c>
      <c r="R42" s="116">
        <f t="shared" si="8"/>
        <v>0</v>
      </c>
      <c r="S42" s="116">
        <f t="shared" si="8"/>
        <v>450</v>
      </c>
      <c r="T42" s="116"/>
      <c r="U42" s="116">
        <f t="shared" si="6"/>
        <v>450</v>
      </c>
      <c r="V42" s="118"/>
      <c r="W42" s="119">
        <f>SUM(W43)</f>
        <v>0</v>
      </c>
      <c r="X42" s="116">
        <f t="shared" si="0"/>
        <v>450</v>
      </c>
      <c r="Y42" s="120"/>
    </row>
    <row r="43" spans="1:25" s="123" customFormat="1" ht="31.5" hidden="1" customHeight="1" outlineLevel="1" x14ac:dyDescent="0.2">
      <c r="A43" s="122"/>
      <c r="B43" s="92"/>
      <c r="C43" s="101"/>
      <c r="D43" s="155" t="s">
        <v>80</v>
      </c>
      <c r="E43" s="155"/>
      <c r="F43" s="155"/>
      <c r="G43" s="155"/>
      <c r="H43" s="15" t="s">
        <v>0</v>
      </c>
      <c r="I43" s="15" t="s">
        <v>1</v>
      </c>
      <c r="J43" s="15" t="s">
        <v>9</v>
      </c>
      <c r="K43" s="29">
        <v>500</v>
      </c>
      <c r="L43" s="29"/>
      <c r="M43" s="29">
        <f t="shared" si="7"/>
        <v>500</v>
      </c>
      <c r="N43" s="28"/>
      <c r="O43" s="29">
        <v>-50</v>
      </c>
      <c r="P43" s="29">
        <f>M43+O43</f>
        <v>450</v>
      </c>
      <c r="Q43" s="28" t="s">
        <v>224</v>
      </c>
      <c r="R43" s="29"/>
      <c r="S43" s="29">
        <f>P43+R43</f>
        <v>450</v>
      </c>
      <c r="T43" s="29"/>
      <c r="U43" s="29">
        <f t="shared" si="6"/>
        <v>450</v>
      </c>
      <c r="V43" s="28"/>
      <c r="W43" s="104"/>
      <c r="X43" s="29">
        <f t="shared" si="0"/>
        <v>450</v>
      </c>
      <c r="Y43" s="91"/>
    </row>
    <row r="44" spans="1:25" s="121" customFormat="1" ht="31.5" customHeight="1" collapsed="1" x14ac:dyDescent="0.2">
      <c r="A44" s="114"/>
      <c r="B44" s="158" t="s">
        <v>81</v>
      </c>
      <c r="C44" s="159"/>
      <c r="D44" s="159"/>
      <c r="E44" s="159"/>
      <c r="F44" s="159"/>
      <c r="G44" s="159"/>
      <c r="H44" s="115" t="s">
        <v>31</v>
      </c>
      <c r="I44" s="115" t="s">
        <v>3</v>
      </c>
      <c r="J44" s="115" t="s">
        <v>3</v>
      </c>
      <c r="K44" s="116">
        <f>SUM(K45)</f>
        <v>18842.3</v>
      </c>
      <c r="L44" s="116">
        <f>SUM(L45)</f>
        <v>0</v>
      </c>
      <c r="M44" s="116">
        <f>SUM(M45)</f>
        <v>18842.3</v>
      </c>
      <c r="N44" s="117"/>
      <c r="O44" s="116">
        <f>SUM(O45:O46)</f>
        <v>-429.8</v>
      </c>
      <c r="P44" s="116">
        <f>SUM(P45:P46)</f>
        <v>18412.5</v>
      </c>
      <c r="Q44" s="117" t="s">
        <v>285</v>
      </c>
      <c r="R44" s="116">
        <f>SUM(R45:R46)</f>
        <v>119.30000000000001</v>
      </c>
      <c r="S44" s="116">
        <f>SUM(S45:S46)</f>
        <v>18531.8</v>
      </c>
      <c r="T44" s="116"/>
      <c r="U44" s="116">
        <f t="shared" si="6"/>
        <v>18531.8</v>
      </c>
      <c r="V44" s="118"/>
      <c r="W44" s="119">
        <f>SUM(W45:W46)</f>
        <v>0</v>
      </c>
      <c r="X44" s="116">
        <f t="shared" si="0"/>
        <v>18531.8</v>
      </c>
      <c r="Y44" s="120"/>
    </row>
    <row r="45" spans="1:25" ht="87" hidden="1" customHeight="1" outlineLevel="1" x14ac:dyDescent="0.2">
      <c r="A45" s="13"/>
      <c r="B45" s="92"/>
      <c r="C45" s="88"/>
      <c r="D45" s="154" t="s">
        <v>82</v>
      </c>
      <c r="E45" s="155"/>
      <c r="F45" s="155"/>
      <c r="G45" s="155"/>
      <c r="H45" s="15" t="s">
        <v>31</v>
      </c>
      <c r="I45" s="15" t="s">
        <v>1</v>
      </c>
      <c r="J45" s="15" t="s">
        <v>9</v>
      </c>
      <c r="K45" s="29">
        <v>18842.3</v>
      </c>
      <c r="L45" s="29"/>
      <c r="M45" s="29">
        <f t="shared" si="7"/>
        <v>18842.3</v>
      </c>
      <c r="N45" s="28"/>
      <c r="O45" s="29">
        <f>-429.8-17.9</f>
        <v>-447.7</v>
      </c>
      <c r="P45" s="29">
        <f>M45+O45</f>
        <v>18394.599999999999</v>
      </c>
      <c r="Q45" s="28" t="s">
        <v>247</v>
      </c>
      <c r="R45" s="29">
        <f>343-223.7</f>
        <v>119.30000000000001</v>
      </c>
      <c r="S45" s="29">
        <f>P45+R45</f>
        <v>18513.899999999998</v>
      </c>
      <c r="T45" s="29"/>
      <c r="U45" s="29">
        <f t="shared" si="6"/>
        <v>18513.899999999998</v>
      </c>
      <c r="V45" s="28"/>
      <c r="W45" s="104"/>
      <c r="X45" s="29">
        <f t="shared" si="0"/>
        <v>18513.899999999998</v>
      </c>
      <c r="Y45" s="91"/>
    </row>
    <row r="46" spans="1:25" ht="18.75" hidden="1" customHeight="1" outlineLevel="1" x14ac:dyDescent="0.2">
      <c r="A46" s="13"/>
      <c r="B46" s="92"/>
      <c r="C46" s="88"/>
      <c r="D46" s="87"/>
      <c r="E46" s="88"/>
      <c r="F46" s="88"/>
      <c r="G46" s="88" t="s">
        <v>245</v>
      </c>
      <c r="H46" s="27" t="s">
        <v>31</v>
      </c>
      <c r="I46" s="15">
        <v>0</v>
      </c>
      <c r="J46" s="27" t="s">
        <v>8</v>
      </c>
      <c r="K46" s="29">
        <v>0</v>
      </c>
      <c r="L46" s="29"/>
      <c r="M46" s="29">
        <v>0</v>
      </c>
      <c r="N46" s="28"/>
      <c r="O46" s="29">
        <v>17.899999999999999</v>
      </c>
      <c r="P46" s="29">
        <v>17.899999999999999</v>
      </c>
      <c r="Q46" s="28" t="s">
        <v>246</v>
      </c>
      <c r="R46" s="29"/>
      <c r="S46" s="29">
        <v>17.899999999999999</v>
      </c>
      <c r="T46" s="29"/>
      <c r="U46" s="29">
        <f t="shared" si="6"/>
        <v>17.899999999999999</v>
      </c>
      <c r="V46" s="28"/>
      <c r="W46" s="104"/>
      <c r="X46" s="29">
        <f t="shared" si="0"/>
        <v>17.899999999999999</v>
      </c>
      <c r="Y46" s="91"/>
    </row>
    <row r="47" spans="1:25" s="121" customFormat="1" ht="26.25" customHeight="1" collapsed="1" x14ac:dyDescent="0.2">
      <c r="A47" s="114"/>
      <c r="B47" s="158" t="s">
        <v>83</v>
      </c>
      <c r="C47" s="159"/>
      <c r="D47" s="159"/>
      <c r="E47" s="159"/>
      <c r="F47" s="159"/>
      <c r="G47" s="159"/>
      <c r="H47" s="115" t="s">
        <v>30</v>
      </c>
      <c r="I47" s="115" t="s">
        <v>3</v>
      </c>
      <c r="J47" s="115" t="s">
        <v>3</v>
      </c>
      <c r="K47" s="116">
        <f>K48+K52</f>
        <v>330695</v>
      </c>
      <c r="L47" s="116">
        <f>L48+L52</f>
        <v>0</v>
      </c>
      <c r="M47" s="116">
        <f>M48+M52</f>
        <v>330695</v>
      </c>
      <c r="N47" s="117"/>
      <c r="O47" s="116">
        <f>O48+O52</f>
        <v>131509.30000000002</v>
      </c>
      <c r="P47" s="116">
        <f>P48+P52</f>
        <v>462204.3</v>
      </c>
      <c r="Q47" s="117"/>
      <c r="R47" s="116">
        <f>R48+R52</f>
        <v>-1695.6999999999989</v>
      </c>
      <c r="S47" s="116">
        <f>S48+S52</f>
        <v>460508.6</v>
      </c>
      <c r="T47" s="116">
        <f>SUM(T48+T52+T55)</f>
        <v>398.2</v>
      </c>
      <c r="U47" s="116">
        <f>SUM(S47+T47)</f>
        <v>460906.8</v>
      </c>
      <c r="V47" s="118"/>
      <c r="W47" s="119">
        <f>SUM(W48,W52)</f>
        <v>650</v>
      </c>
      <c r="X47" s="116">
        <f t="shared" si="0"/>
        <v>461556.8</v>
      </c>
      <c r="Y47" s="120"/>
    </row>
    <row r="48" spans="1:25" s="139" customFormat="1" ht="46.5" customHeight="1" x14ac:dyDescent="0.2">
      <c r="A48" s="132"/>
      <c r="B48" s="133"/>
      <c r="C48" s="157" t="s">
        <v>84</v>
      </c>
      <c r="D48" s="156"/>
      <c r="E48" s="156"/>
      <c r="F48" s="156"/>
      <c r="G48" s="156"/>
      <c r="H48" s="134" t="s">
        <v>30</v>
      </c>
      <c r="I48" s="134" t="s">
        <v>12</v>
      </c>
      <c r="J48" s="134" t="s">
        <v>3</v>
      </c>
      <c r="K48" s="135">
        <f>SUM(K49:K51)</f>
        <v>323033.8</v>
      </c>
      <c r="L48" s="135">
        <f>SUM(L49:L51)</f>
        <v>0</v>
      </c>
      <c r="M48" s="135">
        <f>SUM(M49:M51)</f>
        <v>323033.8</v>
      </c>
      <c r="N48" s="136"/>
      <c r="O48" s="135">
        <f>SUM(O49:O51)</f>
        <v>132413.6</v>
      </c>
      <c r="P48" s="135">
        <f>SUM(P49:P51)</f>
        <v>455447.39999999997</v>
      </c>
      <c r="Q48" s="136" t="s">
        <v>286</v>
      </c>
      <c r="R48" s="135">
        <f>SUM(R49:R51)</f>
        <v>-1545.6999999999989</v>
      </c>
      <c r="S48" s="135">
        <f>SUM(S49:S51)</f>
        <v>453901.69999999995</v>
      </c>
      <c r="T48" s="135">
        <f>SUM(T49+T50+T51)</f>
        <v>-88.2</v>
      </c>
      <c r="U48" s="135">
        <f t="shared" ref="U48:U56" si="9">SUM(S48+T48)</f>
        <v>453813.49999999994</v>
      </c>
      <c r="V48" s="136" t="s">
        <v>389</v>
      </c>
      <c r="W48" s="137">
        <f>SUM(W49:W51)</f>
        <v>650</v>
      </c>
      <c r="X48" s="135">
        <f t="shared" si="0"/>
        <v>454463.49999999994</v>
      </c>
      <c r="Y48" s="138" t="s">
        <v>433</v>
      </c>
    </row>
    <row r="49" spans="1:25" ht="41.25" hidden="1" customHeight="1" outlineLevel="1" x14ac:dyDescent="0.2">
      <c r="A49" s="13"/>
      <c r="B49" s="92"/>
      <c r="C49" s="88"/>
      <c r="D49" s="154" t="s">
        <v>85</v>
      </c>
      <c r="E49" s="155"/>
      <c r="F49" s="155"/>
      <c r="G49" s="155"/>
      <c r="H49" s="15" t="s">
        <v>30</v>
      </c>
      <c r="I49" s="15" t="s">
        <v>12</v>
      </c>
      <c r="J49" s="15" t="s">
        <v>9</v>
      </c>
      <c r="K49" s="29">
        <v>167961.7</v>
      </c>
      <c r="L49" s="29"/>
      <c r="M49" s="29">
        <f t="shared" si="7"/>
        <v>167961.7</v>
      </c>
      <c r="N49" s="28"/>
      <c r="O49" s="29">
        <v>127895.9</v>
      </c>
      <c r="P49" s="29">
        <f>M49+O49</f>
        <v>295857.59999999998</v>
      </c>
      <c r="Q49" s="28" t="s">
        <v>284</v>
      </c>
      <c r="R49" s="29">
        <f>48.5+150+500+123.5-89</f>
        <v>733</v>
      </c>
      <c r="S49" s="29">
        <f>P49+R49</f>
        <v>296590.59999999998</v>
      </c>
      <c r="T49" s="29"/>
      <c r="U49" s="29">
        <f t="shared" si="9"/>
        <v>296590.59999999998</v>
      </c>
      <c r="V49" s="28"/>
      <c r="W49" s="104"/>
      <c r="X49" s="29">
        <f t="shared" si="0"/>
        <v>296590.59999999998</v>
      </c>
      <c r="Y49" s="91"/>
    </row>
    <row r="50" spans="1:25" ht="51" hidden="1" customHeight="1" outlineLevel="1" x14ac:dyDescent="0.2">
      <c r="A50" s="13"/>
      <c r="B50" s="92"/>
      <c r="C50" s="88"/>
      <c r="D50" s="154" t="s">
        <v>86</v>
      </c>
      <c r="E50" s="155"/>
      <c r="F50" s="155"/>
      <c r="G50" s="155"/>
      <c r="H50" s="15" t="s">
        <v>30</v>
      </c>
      <c r="I50" s="15" t="s">
        <v>12</v>
      </c>
      <c r="J50" s="15" t="s">
        <v>8</v>
      </c>
      <c r="K50" s="29">
        <v>136510.29999999999</v>
      </c>
      <c r="L50" s="29"/>
      <c r="M50" s="29">
        <f t="shared" ref="M50:M64" si="10">K50+L50</f>
        <v>136510.29999999999</v>
      </c>
      <c r="N50" s="28"/>
      <c r="O50" s="29">
        <v>7517.7</v>
      </c>
      <c r="P50" s="29">
        <f>M50+O50</f>
        <v>144028</v>
      </c>
      <c r="Q50" s="28" t="s">
        <v>299</v>
      </c>
      <c r="R50" s="29">
        <f>3007.2-23.6+1600-48.5+6152.6+850.4+1892.4-147.4</f>
        <v>13283.1</v>
      </c>
      <c r="S50" s="29">
        <f>P50+R50</f>
        <v>157311.1</v>
      </c>
      <c r="T50" s="29">
        <v>-88.2</v>
      </c>
      <c r="U50" s="29">
        <f t="shared" si="9"/>
        <v>157222.9</v>
      </c>
      <c r="V50" s="28" t="s">
        <v>389</v>
      </c>
      <c r="W50" s="104">
        <f>250+400</f>
        <v>650</v>
      </c>
      <c r="X50" s="29">
        <f t="shared" si="0"/>
        <v>157872.9</v>
      </c>
      <c r="Y50" s="91" t="s">
        <v>433</v>
      </c>
    </row>
    <row r="51" spans="1:25" ht="31.5" hidden="1" customHeight="1" outlineLevel="1" x14ac:dyDescent="0.2">
      <c r="A51" s="13"/>
      <c r="B51" s="92"/>
      <c r="C51" s="88"/>
      <c r="D51" s="154" t="s">
        <v>78</v>
      </c>
      <c r="E51" s="155"/>
      <c r="F51" s="155"/>
      <c r="G51" s="155"/>
      <c r="H51" s="15" t="s">
        <v>30</v>
      </c>
      <c r="I51" s="15" t="s">
        <v>12</v>
      </c>
      <c r="J51" s="15" t="s">
        <v>16</v>
      </c>
      <c r="K51" s="29">
        <v>18561.8</v>
      </c>
      <c r="L51" s="29"/>
      <c r="M51" s="29">
        <f t="shared" si="10"/>
        <v>18561.8</v>
      </c>
      <c r="N51" s="28"/>
      <c r="O51" s="29">
        <v>-3000</v>
      </c>
      <c r="P51" s="29">
        <f>M51+O51</f>
        <v>15561.8</v>
      </c>
      <c r="Q51" s="28" t="s">
        <v>275</v>
      </c>
      <c r="R51" s="29">
        <v>-15561.8</v>
      </c>
      <c r="S51" s="29">
        <f>P51+R51</f>
        <v>0</v>
      </c>
      <c r="T51" s="29"/>
      <c r="U51" s="29">
        <f t="shared" si="9"/>
        <v>0</v>
      </c>
      <c r="V51" s="28"/>
      <c r="W51" s="104"/>
      <c r="X51" s="29">
        <f t="shared" si="0"/>
        <v>0</v>
      </c>
      <c r="Y51" s="91"/>
    </row>
    <row r="52" spans="1:25" s="139" customFormat="1" ht="32.25" customHeight="1" collapsed="1" x14ac:dyDescent="0.2">
      <c r="A52" s="132"/>
      <c r="B52" s="133"/>
      <c r="C52" s="157" t="s">
        <v>87</v>
      </c>
      <c r="D52" s="156"/>
      <c r="E52" s="156"/>
      <c r="F52" s="156"/>
      <c r="G52" s="156"/>
      <c r="H52" s="134" t="s">
        <v>30</v>
      </c>
      <c r="I52" s="134">
        <v>2</v>
      </c>
      <c r="J52" s="134" t="s">
        <v>3</v>
      </c>
      <c r="K52" s="135">
        <f>SUM(K53:K54)</f>
        <v>7661.2</v>
      </c>
      <c r="L52" s="135">
        <f>SUM(L53:L54)</f>
        <v>0</v>
      </c>
      <c r="M52" s="135">
        <f>SUM(M53:M54)</f>
        <v>7661.2</v>
      </c>
      <c r="N52" s="136"/>
      <c r="O52" s="135">
        <f>SUM(O53:O54)</f>
        <v>-904.3</v>
      </c>
      <c r="P52" s="135">
        <f>SUM(P53:P54)</f>
        <v>6756.9</v>
      </c>
      <c r="Q52" s="136" t="s">
        <v>300</v>
      </c>
      <c r="R52" s="135">
        <f>SUM(R53:R54)</f>
        <v>-150</v>
      </c>
      <c r="S52" s="135">
        <f>SUM(S53:S54)</f>
        <v>6606.9</v>
      </c>
      <c r="T52" s="135">
        <f>SUM(T53+T54)</f>
        <v>486.4</v>
      </c>
      <c r="U52" s="135">
        <f t="shared" si="9"/>
        <v>7093.2999999999993</v>
      </c>
      <c r="V52" s="136" t="s">
        <v>390</v>
      </c>
      <c r="W52" s="137">
        <f>SUM(W53:W56)</f>
        <v>0</v>
      </c>
      <c r="X52" s="135">
        <f t="shared" si="0"/>
        <v>7093.2999999999993</v>
      </c>
      <c r="Y52" s="138"/>
    </row>
    <row r="53" spans="1:25" ht="56.25" hidden="1" customHeight="1" outlineLevel="1" x14ac:dyDescent="0.2">
      <c r="A53" s="13"/>
      <c r="B53" s="92"/>
      <c r="C53" s="88"/>
      <c r="D53" s="154" t="s">
        <v>88</v>
      </c>
      <c r="E53" s="155"/>
      <c r="F53" s="155"/>
      <c r="G53" s="155"/>
      <c r="H53" s="15" t="s">
        <v>30</v>
      </c>
      <c r="I53" s="15" t="s">
        <v>10</v>
      </c>
      <c r="J53" s="15" t="s">
        <v>9</v>
      </c>
      <c r="K53" s="29">
        <v>6000</v>
      </c>
      <c r="L53" s="29"/>
      <c r="M53" s="29">
        <f t="shared" si="10"/>
        <v>6000</v>
      </c>
      <c r="N53" s="28"/>
      <c r="O53" s="29">
        <f>200-10-(1300)-255.3</f>
        <v>-1365.3</v>
      </c>
      <c r="P53" s="29">
        <f>M53+O53</f>
        <v>4634.7</v>
      </c>
      <c r="Q53" s="28" t="s">
        <v>301</v>
      </c>
      <c r="R53" s="29">
        <f>18.1</f>
        <v>18.100000000000001</v>
      </c>
      <c r="S53" s="29">
        <f>P53+R53</f>
        <v>4652.8</v>
      </c>
      <c r="T53" s="29"/>
      <c r="U53" s="29">
        <f t="shared" si="9"/>
        <v>4652.8</v>
      </c>
      <c r="V53" s="28"/>
      <c r="W53" s="104"/>
      <c r="X53" s="29">
        <f t="shared" si="0"/>
        <v>4652.8</v>
      </c>
      <c r="Y53" s="91"/>
    </row>
    <row r="54" spans="1:25" ht="65.25" hidden="1" customHeight="1" outlineLevel="1" x14ac:dyDescent="0.2">
      <c r="A54" s="13"/>
      <c r="B54" s="92"/>
      <c r="C54" s="88"/>
      <c r="D54" s="154" t="s">
        <v>44</v>
      </c>
      <c r="E54" s="155"/>
      <c r="F54" s="155"/>
      <c r="G54" s="155"/>
      <c r="H54" s="15" t="s">
        <v>30</v>
      </c>
      <c r="I54" s="15" t="s">
        <v>10</v>
      </c>
      <c r="J54" s="15" t="s">
        <v>16</v>
      </c>
      <c r="K54" s="29">
        <v>1661.2</v>
      </c>
      <c r="L54" s="29"/>
      <c r="M54" s="29">
        <f t="shared" si="10"/>
        <v>1661.2</v>
      </c>
      <c r="N54" s="28"/>
      <c r="O54" s="29">
        <f>129+332</f>
        <v>461</v>
      </c>
      <c r="P54" s="29">
        <f>M54+O54</f>
        <v>2122.1999999999998</v>
      </c>
      <c r="Q54" s="28" t="s">
        <v>204</v>
      </c>
      <c r="R54" s="29">
        <f>-168.1</f>
        <v>-168.1</v>
      </c>
      <c r="S54" s="29">
        <f>P54+R54</f>
        <v>1954.1</v>
      </c>
      <c r="T54" s="29">
        <f>165+321.4</f>
        <v>486.4</v>
      </c>
      <c r="U54" s="29">
        <f t="shared" si="9"/>
        <v>2440.5</v>
      </c>
      <c r="V54" s="28" t="s">
        <v>390</v>
      </c>
      <c r="W54" s="104"/>
      <c r="X54" s="29">
        <f t="shared" si="0"/>
        <v>2440.5</v>
      </c>
      <c r="Y54" s="91"/>
    </row>
    <row r="55" spans="1:25" s="113" customFormat="1" ht="47.25" hidden="1" customHeight="1" outlineLevel="1" x14ac:dyDescent="0.2">
      <c r="A55" s="112"/>
      <c r="B55" s="140"/>
      <c r="C55" s="141"/>
      <c r="D55" s="142"/>
      <c r="E55" s="141"/>
      <c r="F55" s="141"/>
      <c r="G55" s="141" t="s">
        <v>388</v>
      </c>
      <c r="H55" s="143" t="s">
        <v>30</v>
      </c>
      <c r="I55" s="143" t="s">
        <v>13</v>
      </c>
      <c r="J55" s="143"/>
      <c r="K55" s="144"/>
      <c r="L55" s="144"/>
      <c r="M55" s="144"/>
      <c r="N55" s="109"/>
      <c r="O55" s="144"/>
      <c r="P55" s="144"/>
      <c r="Q55" s="109"/>
      <c r="R55" s="144"/>
      <c r="S55" s="144"/>
      <c r="T55" s="144"/>
      <c r="U55" s="144">
        <f t="shared" si="9"/>
        <v>0</v>
      </c>
      <c r="V55" s="109"/>
      <c r="W55" s="145"/>
      <c r="X55" s="144">
        <f t="shared" si="0"/>
        <v>0</v>
      </c>
      <c r="Y55" s="100"/>
    </row>
    <row r="56" spans="1:25" ht="47.25" hidden="1" customHeight="1" outlineLevel="1" x14ac:dyDescent="0.2">
      <c r="A56" s="13"/>
      <c r="B56" s="92"/>
      <c r="C56" s="88"/>
      <c r="D56" s="87"/>
      <c r="E56" s="88"/>
      <c r="F56" s="88"/>
      <c r="G56" s="88"/>
      <c r="H56" s="27" t="s">
        <v>30</v>
      </c>
      <c r="I56" s="27" t="s">
        <v>16</v>
      </c>
      <c r="J56" s="27"/>
      <c r="K56" s="29"/>
      <c r="L56" s="29"/>
      <c r="M56" s="29"/>
      <c r="N56" s="28"/>
      <c r="O56" s="29"/>
      <c r="P56" s="29"/>
      <c r="Q56" s="28"/>
      <c r="R56" s="29"/>
      <c r="S56" s="29"/>
      <c r="T56" s="29"/>
      <c r="U56" s="29">
        <f t="shared" si="9"/>
        <v>0</v>
      </c>
      <c r="V56" s="28"/>
      <c r="W56" s="104"/>
      <c r="X56" s="29">
        <f t="shared" si="0"/>
        <v>0</v>
      </c>
      <c r="Y56" s="91"/>
    </row>
    <row r="57" spans="1:25" s="126" customFormat="1" ht="35.25" customHeight="1" collapsed="1" x14ac:dyDescent="0.2">
      <c r="A57" s="124"/>
      <c r="B57" s="158" t="s">
        <v>39</v>
      </c>
      <c r="C57" s="159"/>
      <c r="D57" s="159"/>
      <c r="E57" s="159"/>
      <c r="F57" s="159"/>
      <c r="G57" s="159"/>
      <c r="H57" s="115" t="s">
        <v>29</v>
      </c>
      <c r="I57" s="115" t="s">
        <v>3</v>
      </c>
      <c r="J57" s="115" t="s">
        <v>3</v>
      </c>
      <c r="K57" s="116">
        <f>SUM(K58:K61)</f>
        <v>61164.299999999996</v>
      </c>
      <c r="L57" s="116">
        <f>SUM(L58:L61)</f>
        <v>-3087.4</v>
      </c>
      <c r="M57" s="116">
        <f>SUM(M58:M61)</f>
        <v>58076.899999999994</v>
      </c>
      <c r="N57" s="117" t="s">
        <v>201</v>
      </c>
      <c r="O57" s="116">
        <f>SUM(O58:O61)</f>
        <v>-5905.8</v>
      </c>
      <c r="P57" s="116">
        <f>SUM(P58:P61)</f>
        <v>52171.1</v>
      </c>
      <c r="Q57" s="117" t="s">
        <v>244</v>
      </c>
      <c r="R57" s="116">
        <f>SUM(R58:R61)</f>
        <v>3500.6000000000004</v>
      </c>
      <c r="S57" s="116">
        <f>SUM(S58:S61)</f>
        <v>55671.700000000004</v>
      </c>
      <c r="T57" s="116"/>
      <c r="U57" s="116">
        <f>SUM(S57+T57)</f>
        <v>55671.700000000004</v>
      </c>
      <c r="V57" s="117"/>
      <c r="W57" s="119">
        <f>SUM(W58:W61)</f>
        <v>4500</v>
      </c>
      <c r="X57" s="116">
        <f t="shared" si="0"/>
        <v>60171.700000000004</v>
      </c>
      <c r="Y57" s="120" t="s">
        <v>438</v>
      </c>
    </row>
    <row r="58" spans="1:25" ht="33.75" hidden="1" outlineLevel="1" x14ac:dyDescent="0.2">
      <c r="A58" s="13"/>
      <c r="B58" s="92"/>
      <c r="C58" s="88"/>
      <c r="D58" s="154" t="s">
        <v>40</v>
      </c>
      <c r="E58" s="155"/>
      <c r="F58" s="155"/>
      <c r="G58" s="155"/>
      <c r="H58" s="15" t="s">
        <v>29</v>
      </c>
      <c r="I58" s="15" t="s">
        <v>1</v>
      </c>
      <c r="J58" s="15" t="s">
        <v>9</v>
      </c>
      <c r="K58" s="29">
        <v>41007.199999999997</v>
      </c>
      <c r="L58" s="29"/>
      <c r="M58" s="29">
        <f t="shared" si="10"/>
        <v>41007.199999999997</v>
      </c>
      <c r="N58" s="28"/>
      <c r="O58" s="29">
        <v>-244.2</v>
      </c>
      <c r="P58" s="29">
        <f>M58+O58</f>
        <v>40763</v>
      </c>
      <c r="Q58" s="28" t="s">
        <v>225</v>
      </c>
      <c r="R58" s="29">
        <f>-200+156.8</f>
        <v>-43.199999999999989</v>
      </c>
      <c r="S58" s="29">
        <f>P58+R58</f>
        <v>40719.800000000003</v>
      </c>
      <c r="T58" s="29"/>
      <c r="U58" s="29">
        <f t="shared" ref="U58:U61" si="11">SUM(S58+T58)</f>
        <v>40719.800000000003</v>
      </c>
      <c r="V58" s="28"/>
      <c r="W58" s="104">
        <f>-89</f>
        <v>-89</v>
      </c>
      <c r="X58" s="29">
        <f t="shared" si="0"/>
        <v>40630.800000000003</v>
      </c>
      <c r="Y58" s="91" t="s">
        <v>417</v>
      </c>
    </row>
    <row r="59" spans="1:25" ht="51.75" hidden="1" customHeight="1" outlineLevel="1" x14ac:dyDescent="0.2">
      <c r="A59" s="13"/>
      <c r="B59" s="92"/>
      <c r="C59" s="88"/>
      <c r="D59" s="154" t="s">
        <v>41</v>
      </c>
      <c r="E59" s="155"/>
      <c r="F59" s="155"/>
      <c r="G59" s="155"/>
      <c r="H59" s="15" t="s">
        <v>29</v>
      </c>
      <c r="I59" s="15" t="s">
        <v>1</v>
      </c>
      <c r="J59" s="15" t="s">
        <v>8</v>
      </c>
      <c r="K59" s="29">
        <v>8400</v>
      </c>
      <c r="L59" s="29">
        <v>-115</v>
      </c>
      <c r="M59" s="29">
        <f t="shared" si="10"/>
        <v>8285</v>
      </c>
      <c r="N59" s="28" t="s">
        <v>200</v>
      </c>
      <c r="O59" s="29">
        <f>500+1637</f>
        <v>2137</v>
      </c>
      <c r="P59" s="29">
        <f>M59+O59</f>
        <v>10422</v>
      </c>
      <c r="Q59" s="28" t="s">
        <v>213</v>
      </c>
      <c r="R59" s="29">
        <f>-0.5+3319</f>
        <v>3318.5</v>
      </c>
      <c r="S59" s="29">
        <f>P59+R59</f>
        <v>13740.5</v>
      </c>
      <c r="T59" s="29"/>
      <c r="U59" s="29">
        <f t="shared" si="11"/>
        <v>13740.5</v>
      </c>
      <c r="V59" s="28"/>
      <c r="W59" s="104">
        <f>89+4500</f>
        <v>4589</v>
      </c>
      <c r="X59" s="29">
        <f t="shared" si="0"/>
        <v>18329.5</v>
      </c>
      <c r="Y59" s="91" t="s">
        <v>425</v>
      </c>
    </row>
    <row r="60" spans="1:25" ht="25.5" hidden="1" customHeight="1" outlineLevel="1" x14ac:dyDescent="0.2">
      <c r="A60" s="13"/>
      <c r="B60" s="92"/>
      <c r="C60" s="88"/>
      <c r="D60" s="154" t="s">
        <v>42</v>
      </c>
      <c r="E60" s="155"/>
      <c r="F60" s="155"/>
      <c r="G60" s="155"/>
      <c r="H60" s="15" t="s">
        <v>29</v>
      </c>
      <c r="I60" s="15" t="s">
        <v>1</v>
      </c>
      <c r="J60" s="15" t="s">
        <v>16</v>
      </c>
      <c r="K60" s="29">
        <v>3948.4</v>
      </c>
      <c r="L60" s="29">
        <f>-3300+327.6</f>
        <v>-2972.4</v>
      </c>
      <c r="M60" s="29">
        <f t="shared" si="10"/>
        <v>976</v>
      </c>
      <c r="N60" s="22" t="s">
        <v>171</v>
      </c>
      <c r="O60" s="29">
        <v>-178.8</v>
      </c>
      <c r="P60" s="29">
        <f>M60+O60</f>
        <v>797.2</v>
      </c>
      <c r="Q60" s="28" t="s">
        <v>226</v>
      </c>
      <c r="R60" s="29">
        <f>225.3</f>
        <v>225.3</v>
      </c>
      <c r="S60" s="29">
        <f>P60+R60</f>
        <v>1022.5</v>
      </c>
      <c r="T60" s="29"/>
      <c r="U60" s="29">
        <f t="shared" si="11"/>
        <v>1022.5</v>
      </c>
      <c r="V60" s="28"/>
      <c r="W60" s="104"/>
      <c r="X60" s="29">
        <f t="shared" si="0"/>
        <v>1022.5</v>
      </c>
      <c r="Y60" s="91"/>
    </row>
    <row r="61" spans="1:25" ht="26.25" hidden="1" customHeight="1" outlineLevel="1" x14ac:dyDescent="0.2">
      <c r="A61" s="13"/>
      <c r="B61" s="92"/>
      <c r="C61" s="88"/>
      <c r="D61" s="154" t="s">
        <v>43</v>
      </c>
      <c r="E61" s="155"/>
      <c r="F61" s="155"/>
      <c r="G61" s="155"/>
      <c r="H61" s="15" t="s">
        <v>29</v>
      </c>
      <c r="I61" s="15" t="s">
        <v>1</v>
      </c>
      <c r="J61" s="15" t="s">
        <v>6</v>
      </c>
      <c r="K61" s="29">
        <v>7808.7</v>
      </c>
      <c r="L61" s="29"/>
      <c r="M61" s="29">
        <f t="shared" si="10"/>
        <v>7808.7</v>
      </c>
      <c r="N61" s="28"/>
      <c r="O61" s="29">
        <f>-7600-19.8</f>
        <v>-7619.8</v>
      </c>
      <c r="P61" s="29">
        <f>M61+O61</f>
        <v>188.89999999999964</v>
      </c>
      <c r="Q61" s="28" t="s">
        <v>227</v>
      </c>
      <c r="R61" s="29"/>
      <c r="S61" s="29">
        <f>P61+R61</f>
        <v>188.89999999999964</v>
      </c>
      <c r="T61" s="29"/>
      <c r="U61" s="29">
        <f t="shared" si="11"/>
        <v>188.89999999999964</v>
      </c>
      <c r="V61" s="28"/>
      <c r="W61" s="104"/>
      <c r="X61" s="29">
        <f t="shared" si="0"/>
        <v>188.89999999999964</v>
      </c>
      <c r="Y61" s="91"/>
    </row>
    <row r="62" spans="1:25" s="121" customFormat="1" ht="29.25" customHeight="1" collapsed="1" x14ac:dyDescent="0.2">
      <c r="A62" s="114"/>
      <c r="B62" s="158" t="s">
        <v>89</v>
      </c>
      <c r="C62" s="159"/>
      <c r="D62" s="159"/>
      <c r="E62" s="159"/>
      <c r="F62" s="159"/>
      <c r="G62" s="159"/>
      <c r="H62" s="115" t="s">
        <v>28</v>
      </c>
      <c r="I62" s="115" t="s">
        <v>3</v>
      </c>
      <c r="J62" s="115" t="s">
        <v>3</v>
      </c>
      <c r="K62" s="116">
        <f>K63+K65+K68+K73+K71</f>
        <v>261373.4</v>
      </c>
      <c r="L62" s="116">
        <f>L63+L65+L68+L73</f>
        <v>27751.7</v>
      </c>
      <c r="M62" s="116">
        <f>M63+M65+M68+M73+M71</f>
        <v>289125.09999999998</v>
      </c>
      <c r="N62" s="117"/>
      <c r="O62" s="116">
        <f>O63+O65+O68+O73+0.1</f>
        <v>-61278.299999999996</v>
      </c>
      <c r="P62" s="116">
        <f>P63+P65+P68+P73+P71</f>
        <v>227846.8</v>
      </c>
      <c r="Q62" s="117"/>
      <c r="R62" s="116">
        <f>R63+R65+R68+R73+R71</f>
        <v>732913</v>
      </c>
      <c r="S62" s="116">
        <f>S63+S65+S68+S73+S71</f>
        <v>960759.8</v>
      </c>
      <c r="T62" s="116">
        <f>T63+T65+T68+T73+T71</f>
        <v>244362.30000000002</v>
      </c>
      <c r="U62" s="116">
        <f>SUM(S62+T62)</f>
        <v>1205122.1000000001</v>
      </c>
      <c r="V62" s="118"/>
      <c r="W62" s="119">
        <f>SUM(W63,W65,W68,W71,W73)</f>
        <v>57511</v>
      </c>
      <c r="X62" s="116">
        <f t="shared" si="0"/>
        <v>1262633.1000000001</v>
      </c>
      <c r="Y62" s="120"/>
    </row>
    <row r="63" spans="1:25" s="139" customFormat="1" ht="24" customHeight="1" x14ac:dyDescent="0.2">
      <c r="A63" s="132"/>
      <c r="B63" s="133"/>
      <c r="C63" s="157" t="s">
        <v>90</v>
      </c>
      <c r="D63" s="156"/>
      <c r="E63" s="156"/>
      <c r="F63" s="156"/>
      <c r="G63" s="156"/>
      <c r="H63" s="134" t="s">
        <v>28</v>
      </c>
      <c r="I63" s="134" t="s">
        <v>12</v>
      </c>
      <c r="J63" s="134" t="s">
        <v>3</v>
      </c>
      <c r="K63" s="135">
        <f>SUM(K64)</f>
        <v>1181.2</v>
      </c>
      <c r="L63" s="135">
        <f t="shared" ref="L63:S63" si="12">SUM(L64)</f>
        <v>0</v>
      </c>
      <c r="M63" s="135">
        <f t="shared" si="12"/>
        <v>1181.2</v>
      </c>
      <c r="N63" s="136"/>
      <c r="O63" s="135">
        <f t="shared" si="12"/>
        <v>-330.5</v>
      </c>
      <c r="P63" s="135">
        <f t="shared" si="12"/>
        <v>850.80000000000007</v>
      </c>
      <c r="Q63" s="136" t="s">
        <v>206</v>
      </c>
      <c r="R63" s="135">
        <f t="shared" si="12"/>
        <v>-18.399999999999999</v>
      </c>
      <c r="S63" s="135">
        <f t="shared" si="12"/>
        <v>832.40000000000009</v>
      </c>
      <c r="T63" s="135"/>
      <c r="U63" s="135">
        <f>SUM(S63+T63)</f>
        <v>832.40000000000009</v>
      </c>
      <c r="V63" s="136"/>
      <c r="W63" s="137">
        <f>SUM(W64)</f>
        <v>0</v>
      </c>
      <c r="X63" s="135">
        <f t="shared" si="0"/>
        <v>832.40000000000009</v>
      </c>
      <c r="Y63" s="138"/>
    </row>
    <row r="64" spans="1:25" ht="25.5" hidden="1" customHeight="1" outlineLevel="1" x14ac:dyDescent="0.2">
      <c r="A64" s="13"/>
      <c r="B64" s="92"/>
      <c r="C64" s="88"/>
      <c r="D64" s="154" t="s">
        <v>91</v>
      </c>
      <c r="E64" s="155"/>
      <c r="F64" s="155"/>
      <c r="G64" s="155"/>
      <c r="H64" s="15" t="s">
        <v>28</v>
      </c>
      <c r="I64" s="15" t="s">
        <v>12</v>
      </c>
      <c r="J64" s="15" t="s">
        <v>9</v>
      </c>
      <c r="K64" s="29">
        <v>1181.2</v>
      </c>
      <c r="L64" s="29"/>
      <c r="M64" s="29">
        <f t="shared" si="10"/>
        <v>1181.2</v>
      </c>
      <c r="N64" s="28"/>
      <c r="O64" s="29">
        <v>-330.5</v>
      </c>
      <c r="P64" s="29">
        <f>M64+O64+0.1</f>
        <v>850.80000000000007</v>
      </c>
      <c r="Q64" s="28" t="s">
        <v>206</v>
      </c>
      <c r="R64" s="29">
        <f>-18.4</f>
        <v>-18.399999999999999</v>
      </c>
      <c r="S64" s="29">
        <f>P64+R64</f>
        <v>832.40000000000009</v>
      </c>
      <c r="T64" s="29"/>
      <c r="U64" s="29">
        <f t="shared" ref="U64:U74" si="13">SUM(S64+T64)</f>
        <v>832.40000000000009</v>
      </c>
      <c r="V64" s="28"/>
      <c r="W64" s="104"/>
      <c r="X64" s="29">
        <f t="shared" si="0"/>
        <v>832.40000000000009</v>
      </c>
      <c r="Y64" s="91"/>
    </row>
    <row r="65" spans="1:25" s="139" customFormat="1" ht="22.5" customHeight="1" collapsed="1" x14ac:dyDescent="0.2">
      <c r="A65" s="132"/>
      <c r="B65" s="133"/>
      <c r="C65" s="157" t="s">
        <v>92</v>
      </c>
      <c r="D65" s="156"/>
      <c r="E65" s="156"/>
      <c r="F65" s="156"/>
      <c r="G65" s="156"/>
      <c r="H65" s="134" t="s">
        <v>28</v>
      </c>
      <c r="I65" s="134" t="s">
        <v>10</v>
      </c>
      <c r="J65" s="134" t="s">
        <v>3</v>
      </c>
      <c r="K65" s="135">
        <f>SUM(K66:K67)</f>
        <v>28166.2</v>
      </c>
      <c r="L65" s="135">
        <f>SUM(L66:L67)</f>
        <v>0</v>
      </c>
      <c r="M65" s="135">
        <f>SUM(M66:M67)</f>
        <v>28166.2</v>
      </c>
      <c r="N65" s="136"/>
      <c r="O65" s="135">
        <f>SUM(O66:O67)</f>
        <v>-2168.2000000000003</v>
      </c>
      <c r="P65" s="135">
        <f>SUM(P66:P67)</f>
        <v>25998</v>
      </c>
      <c r="Q65" s="136" t="s">
        <v>256</v>
      </c>
      <c r="R65" s="135">
        <f>SUM(R66:R67)</f>
        <v>11512.900000000001</v>
      </c>
      <c r="S65" s="135">
        <f>SUM(S66:S67)</f>
        <v>37510.9</v>
      </c>
      <c r="T65" s="135">
        <f>T66</f>
        <v>-3504.8</v>
      </c>
      <c r="U65" s="135">
        <f t="shared" si="13"/>
        <v>34006.1</v>
      </c>
      <c r="V65" s="136" t="s">
        <v>400</v>
      </c>
      <c r="W65" s="137">
        <f>SUM(W66:W67)</f>
        <v>0</v>
      </c>
      <c r="X65" s="135">
        <f t="shared" si="0"/>
        <v>34006.1</v>
      </c>
      <c r="Y65" s="138"/>
    </row>
    <row r="66" spans="1:25" ht="90" hidden="1" outlineLevel="1" x14ac:dyDescent="0.2">
      <c r="A66" s="13"/>
      <c r="B66" s="92"/>
      <c r="C66" s="88"/>
      <c r="D66" s="154" t="s">
        <v>93</v>
      </c>
      <c r="E66" s="155"/>
      <c r="F66" s="155"/>
      <c r="G66" s="155"/>
      <c r="H66" s="15" t="s">
        <v>28</v>
      </c>
      <c r="I66" s="15" t="s">
        <v>10</v>
      </c>
      <c r="J66" s="15" t="s">
        <v>9</v>
      </c>
      <c r="K66" s="29">
        <v>28149.8</v>
      </c>
      <c r="L66" s="29"/>
      <c r="M66" s="29">
        <f t="shared" ref="M66:M89" si="14">K66+L66</f>
        <v>28149.8</v>
      </c>
      <c r="N66" s="28"/>
      <c r="O66" s="29">
        <f>-7032.8+1693.7+7032.8-3861.9</f>
        <v>-2168.2000000000003</v>
      </c>
      <c r="P66" s="29">
        <f>M66+O66</f>
        <v>25981.599999999999</v>
      </c>
      <c r="Q66" s="28" t="s">
        <v>214</v>
      </c>
      <c r="R66" s="29">
        <f>5081.1+1693.7+840.3+1078+936+191.6+1693.7</f>
        <v>11514.400000000001</v>
      </c>
      <c r="S66" s="29">
        <f>P66+R66</f>
        <v>37496</v>
      </c>
      <c r="T66" s="29">
        <f>-2616.6-888.2</f>
        <v>-3504.8</v>
      </c>
      <c r="U66" s="29">
        <f t="shared" si="13"/>
        <v>33991.199999999997</v>
      </c>
      <c r="V66" s="109" t="s">
        <v>392</v>
      </c>
      <c r="W66" s="104"/>
      <c r="X66" s="29">
        <f t="shared" si="0"/>
        <v>33991.199999999997</v>
      </c>
      <c r="Y66" s="100"/>
    </row>
    <row r="67" spans="1:25" ht="66.75" hidden="1" customHeight="1" outlineLevel="1" x14ac:dyDescent="0.2">
      <c r="A67" s="13"/>
      <c r="B67" s="92"/>
      <c r="C67" s="88"/>
      <c r="D67" s="155" t="s">
        <v>94</v>
      </c>
      <c r="E67" s="155"/>
      <c r="F67" s="155"/>
      <c r="G67" s="155"/>
      <c r="H67" s="15" t="s">
        <v>28</v>
      </c>
      <c r="I67" s="15" t="s">
        <v>10</v>
      </c>
      <c r="J67" s="15" t="s">
        <v>8</v>
      </c>
      <c r="K67" s="29">
        <v>16.399999999999999</v>
      </c>
      <c r="L67" s="29"/>
      <c r="M67" s="29">
        <f t="shared" si="14"/>
        <v>16.399999999999999</v>
      </c>
      <c r="N67" s="28"/>
      <c r="O67" s="29"/>
      <c r="P67" s="29">
        <f>M67+O67</f>
        <v>16.399999999999999</v>
      </c>
      <c r="Q67" s="28"/>
      <c r="R67" s="29">
        <v>-1.5</v>
      </c>
      <c r="S67" s="29">
        <f>P67+R67</f>
        <v>14.899999999999999</v>
      </c>
      <c r="T67" s="29"/>
      <c r="U67" s="29">
        <f t="shared" si="13"/>
        <v>14.899999999999999</v>
      </c>
      <c r="V67" s="110"/>
      <c r="W67" s="104"/>
      <c r="X67" s="29">
        <f t="shared" si="0"/>
        <v>14.899999999999999</v>
      </c>
      <c r="Y67" s="94"/>
    </row>
    <row r="68" spans="1:25" s="139" customFormat="1" ht="73.5" customHeight="1" collapsed="1" x14ac:dyDescent="0.2">
      <c r="A68" s="132"/>
      <c r="B68" s="133"/>
      <c r="C68" s="157" t="s">
        <v>95</v>
      </c>
      <c r="D68" s="156"/>
      <c r="E68" s="156"/>
      <c r="F68" s="156"/>
      <c r="G68" s="156"/>
      <c r="H68" s="134" t="s">
        <v>28</v>
      </c>
      <c r="I68" s="134" t="s">
        <v>13</v>
      </c>
      <c r="J68" s="134" t="s">
        <v>3</v>
      </c>
      <c r="K68" s="135">
        <f>SUM(K69:K70)</f>
        <v>186565.5</v>
      </c>
      <c r="L68" s="135">
        <f>SUM(L69:L70)</f>
        <v>115</v>
      </c>
      <c r="M68" s="135">
        <f>SUM(M69:M70)</f>
        <v>186680.5</v>
      </c>
      <c r="N68" s="136" t="s">
        <v>179</v>
      </c>
      <c r="O68" s="135">
        <f>SUM(O69:O70)</f>
        <v>-32009.1</v>
      </c>
      <c r="P68" s="135">
        <f>SUM(P69:P70)</f>
        <v>154671.4</v>
      </c>
      <c r="Q68" s="136" t="s">
        <v>279</v>
      </c>
      <c r="R68" s="135">
        <f>SUM(R69:R70)</f>
        <v>141961.4</v>
      </c>
      <c r="S68" s="135">
        <f>SUM(S69:S70)</f>
        <v>296632.8</v>
      </c>
      <c r="T68" s="135">
        <f>27042.7+218800-12338.4</f>
        <v>233504.30000000002</v>
      </c>
      <c r="U68" s="135">
        <f t="shared" si="13"/>
        <v>530137.1</v>
      </c>
      <c r="V68" s="136" t="s">
        <v>393</v>
      </c>
      <c r="W68" s="137">
        <f>SUM(W69:W70)</f>
        <v>-11831.7</v>
      </c>
      <c r="X68" s="135">
        <f t="shared" si="0"/>
        <v>518305.39999999997</v>
      </c>
      <c r="Y68" s="138" t="s">
        <v>418</v>
      </c>
    </row>
    <row r="69" spans="1:25" ht="71.25" hidden="1" customHeight="1" outlineLevel="1" x14ac:dyDescent="0.2">
      <c r="A69" s="13"/>
      <c r="B69" s="92"/>
      <c r="C69" s="87"/>
      <c r="D69" s="88"/>
      <c r="E69" s="88"/>
      <c r="F69" s="88"/>
      <c r="G69" s="87" t="s">
        <v>178</v>
      </c>
      <c r="H69" s="15">
        <v>11</v>
      </c>
      <c r="I69" s="15">
        <v>3</v>
      </c>
      <c r="J69" s="25" t="s">
        <v>9</v>
      </c>
      <c r="K69" s="29">
        <v>0</v>
      </c>
      <c r="L69" s="29">
        <v>115</v>
      </c>
      <c r="M69" s="29">
        <f t="shared" si="14"/>
        <v>115</v>
      </c>
      <c r="N69" s="28" t="s">
        <v>179</v>
      </c>
      <c r="O69" s="29">
        <f>15581.2+7923+1004.2</f>
        <v>24508.400000000001</v>
      </c>
      <c r="P69" s="29">
        <f>M69+O69</f>
        <v>24623.4</v>
      </c>
      <c r="Q69" s="28" t="s">
        <v>278</v>
      </c>
      <c r="R69" s="29">
        <f>18.4+152.5+127299.8+12333.4+2122</f>
        <v>141926.1</v>
      </c>
      <c r="S69" s="29">
        <f>P69+R69</f>
        <v>166549.5</v>
      </c>
      <c r="T69" s="29"/>
      <c r="U69" s="29">
        <f t="shared" si="13"/>
        <v>166549.5</v>
      </c>
      <c r="V69" s="28"/>
      <c r="W69" s="104">
        <f>-10317.5-1275.2-239</f>
        <v>-11831.7</v>
      </c>
      <c r="X69" s="29">
        <f t="shared" si="0"/>
        <v>154717.79999999999</v>
      </c>
      <c r="Y69" s="100" t="s">
        <v>418</v>
      </c>
    </row>
    <row r="70" spans="1:25" ht="42.75" hidden="1" customHeight="1" outlineLevel="1" x14ac:dyDescent="0.2">
      <c r="A70" s="13"/>
      <c r="B70" s="92"/>
      <c r="C70" s="88"/>
      <c r="D70" s="154" t="s">
        <v>96</v>
      </c>
      <c r="E70" s="155"/>
      <c r="F70" s="155"/>
      <c r="G70" s="155"/>
      <c r="H70" s="15" t="s">
        <v>28</v>
      </c>
      <c r="I70" s="15" t="s">
        <v>13</v>
      </c>
      <c r="J70" s="15" t="s">
        <v>8</v>
      </c>
      <c r="K70" s="29">
        <v>186565.5</v>
      </c>
      <c r="L70" s="29"/>
      <c r="M70" s="29">
        <f t="shared" si="14"/>
        <v>186565.5</v>
      </c>
      <c r="N70" s="28"/>
      <c r="O70" s="29">
        <f>-46988.6+119.3-14159.2+4511</f>
        <v>-56517.5</v>
      </c>
      <c r="P70" s="29">
        <f>M70+O70</f>
        <v>130048</v>
      </c>
      <c r="Q70" s="28" t="s">
        <v>215</v>
      </c>
      <c r="R70" s="29">
        <v>35.299999999999997</v>
      </c>
      <c r="S70" s="29">
        <f>P70+R70</f>
        <v>130083.3</v>
      </c>
      <c r="T70" s="29"/>
      <c r="U70" s="29">
        <f t="shared" si="13"/>
        <v>130083.3</v>
      </c>
      <c r="V70" s="28"/>
      <c r="W70" s="104"/>
      <c r="X70" s="29">
        <f t="shared" si="0"/>
        <v>130083.3</v>
      </c>
      <c r="Y70" s="91"/>
    </row>
    <row r="71" spans="1:25" s="139" customFormat="1" ht="65.25" customHeight="1" collapsed="1" x14ac:dyDescent="0.2">
      <c r="A71" s="132"/>
      <c r="B71" s="133"/>
      <c r="C71" s="156" t="s">
        <v>385</v>
      </c>
      <c r="D71" s="156"/>
      <c r="E71" s="156"/>
      <c r="F71" s="156"/>
      <c r="G71" s="156"/>
      <c r="H71" s="134">
        <v>11</v>
      </c>
      <c r="I71" s="134">
        <v>4</v>
      </c>
      <c r="J71" s="134"/>
      <c r="K71" s="135">
        <f>SUM(K72)</f>
        <v>0</v>
      </c>
      <c r="L71" s="135"/>
      <c r="M71" s="135">
        <f>SUM(M72)</f>
        <v>0</v>
      </c>
      <c r="N71" s="136"/>
      <c r="O71" s="135"/>
      <c r="P71" s="135">
        <f>SUM(P72)</f>
        <v>0</v>
      </c>
      <c r="Q71" s="136"/>
      <c r="R71" s="135">
        <f>SUM(R72)</f>
        <v>467250</v>
      </c>
      <c r="S71" s="135">
        <f>SUM(S72)</f>
        <v>467250</v>
      </c>
      <c r="T71" s="135"/>
      <c r="U71" s="135">
        <f t="shared" si="13"/>
        <v>467250</v>
      </c>
      <c r="V71" s="136"/>
      <c r="W71" s="137">
        <f>SUM(W72)</f>
        <v>57750</v>
      </c>
      <c r="X71" s="135">
        <f t="shared" si="0"/>
        <v>525000</v>
      </c>
      <c r="Y71" s="138" t="s">
        <v>413</v>
      </c>
    </row>
    <row r="72" spans="1:25" ht="60.75" hidden="1" customHeight="1" outlineLevel="1" x14ac:dyDescent="0.2">
      <c r="A72" s="13"/>
      <c r="B72" s="92"/>
      <c r="C72" s="87"/>
      <c r="D72" s="88"/>
      <c r="E72" s="88"/>
      <c r="F72" s="88"/>
      <c r="G72" s="88" t="s">
        <v>178</v>
      </c>
      <c r="H72" s="15">
        <v>11</v>
      </c>
      <c r="I72" s="15">
        <v>4</v>
      </c>
      <c r="J72" s="27" t="s">
        <v>9</v>
      </c>
      <c r="K72" s="29">
        <v>0</v>
      </c>
      <c r="L72" s="29"/>
      <c r="M72" s="29">
        <v>0</v>
      </c>
      <c r="N72" s="28"/>
      <c r="O72" s="29"/>
      <c r="P72" s="29">
        <v>0</v>
      </c>
      <c r="Q72" s="28"/>
      <c r="R72" s="29">
        <v>467250</v>
      </c>
      <c r="S72" s="29">
        <f>P72+R72</f>
        <v>467250</v>
      </c>
      <c r="T72" s="29"/>
      <c r="U72" s="29">
        <f t="shared" si="13"/>
        <v>467250</v>
      </c>
      <c r="V72" s="28"/>
      <c r="W72" s="104">
        <v>57750</v>
      </c>
      <c r="X72" s="29">
        <f t="shared" si="0"/>
        <v>525000</v>
      </c>
      <c r="Y72" s="91" t="s">
        <v>413</v>
      </c>
    </row>
    <row r="73" spans="1:25" s="139" customFormat="1" ht="51" customHeight="1" collapsed="1" x14ac:dyDescent="0.2">
      <c r="A73" s="132"/>
      <c r="B73" s="133"/>
      <c r="C73" s="157" t="s">
        <v>97</v>
      </c>
      <c r="D73" s="156"/>
      <c r="E73" s="156"/>
      <c r="F73" s="156"/>
      <c r="G73" s="156"/>
      <c r="H73" s="134" t="s">
        <v>28</v>
      </c>
      <c r="I73" s="134" t="s">
        <v>27</v>
      </c>
      <c r="J73" s="134" t="s">
        <v>3</v>
      </c>
      <c r="K73" s="135">
        <f>SUM(K74)</f>
        <v>45460.5</v>
      </c>
      <c r="L73" s="135">
        <f t="shared" ref="L73:S73" si="15">SUM(L74)</f>
        <v>27636.7</v>
      </c>
      <c r="M73" s="135">
        <f t="shared" si="15"/>
        <v>73097.2</v>
      </c>
      <c r="N73" s="146" t="s">
        <v>177</v>
      </c>
      <c r="O73" s="135">
        <f t="shared" si="15"/>
        <v>-26770.6</v>
      </c>
      <c r="P73" s="135">
        <f t="shared" si="15"/>
        <v>46326.6</v>
      </c>
      <c r="Q73" s="136" t="s">
        <v>216</v>
      </c>
      <c r="R73" s="135">
        <f t="shared" si="15"/>
        <v>112207.1</v>
      </c>
      <c r="S73" s="135">
        <f t="shared" si="15"/>
        <v>158533.70000000001</v>
      </c>
      <c r="T73" s="135">
        <f>T74</f>
        <v>14362.8</v>
      </c>
      <c r="U73" s="135">
        <f t="shared" si="13"/>
        <v>172896.5</v>
      </c>
      <c r="V73" s="136" t="s">
        <v>394</v>
      </c>
      <c r="W73" s="137">
        <f>SUM(W74)</f>
        <v>11592.7</v>
      </c>
      <c r="X73" s="135">
        <f t="shared" ref="X73:X136" si="16">SUM(U73+W73)</f>
        <v>184489.2</v>
      </c>
      <c r="Y73" s="138" t="s">
        <v>410</v>
      </c>
    </row>
    <row r="74" spans="1:25" ht="49.5" hidden="1" customHeight="1" outlineLevel="1" x14ac:dyDescent="0.2">
      <c r="A74" s="13"/>
      <c r="B74" s="92"/>
      <c r="C74" s="88"/>
      <c r="D74" s="154" t="s">
        <v>98</v>
      </c>
      <c r="E74" s="155"/>
      <c r="F74" s="155"/>
      <c r="G74" s="155"/>
      <c r="H74" s="15" t="s">
        <v>28</v>
      </c>
      <c r="I74" s="15" t="s">
        <v>27</v>
      </c>
      <c r="J74" s="15" t="s">
        <v>9</v>
      </c>
      <c r="K74" s="29">
        <v>45460.5</v>
      </c>
      <c r="L74" s="29">
        <f>20000+3200+3300+1136.7</f>
        <v>27636.7</v>
      </c>
      <c r="M74" s="29">
        <f t="shared" si="14"/>
        <v>73097.2</v>
      </c>
      <c r="N74" s="22" t="s">
        <v>177</v>
      </c>
      <c r="O74" s="29">
        <f>-28936.7-2800+1748.9+516+216.2+1961+524</f>
        <v>-26770.6</v>
      </c>
      <c r="P74" s="29">
        <f>M74+O74</f>
        <v>46326.6</v>
      </c>
      <c r="Q74" s="28" t="s">
        <v>216</v>
      </c>
      <c r="R74" s="29">
        <f>100000+12359.6-152.5</f>
        <v>112207.1</v>
      </c>
      <c r="S74" s="29">
        <f>P74+R74</f>
        <v>158533.70000000001</v>
      </c>
      <c r="T74" s="29">
        <f>12338.4+1524.3+500.1</f>
        <v>14362.8</v>
      </c>
      <c r="U74" s="29">
        <f t="shared" si="13"/>
        <v>172896.5</v>
      </c>
      <c r="V74" s="109" t="s">
        <v>394</v>
      </c>
      <c r="W74" s="104">
        <f>10317.5+1275.2</f>
        <v>11592.7</v>
      </c>
      <c r="X74" s="29">
        <f t="shared" si="16"/>
        <v>184489.2</v>
      </c>
      <c r="Y74" s="100" t="s">
        <v>410</v>
      </c>
    </row>
    <row r="75" spans="1:25" s="121" customFormat="1" ht="23.25" customHeight="1" collapsed="1" x14ac:dyDescent="0.2">
      <c r="A75" s="114"/>
      <c r="B75" s="158" t="s">
        <v>99</v>
      </c>
      <c r="C75" s="159"/>
      <c r="D75" s="159"/>
      <c r="E75" s="159"/>
      <c r="F75" s="159"/>
      <c r="G75" s="159"/>
      <c r="H75" s="115" t="s">
        <v>26</v>
      </c>
      <c r="I75" s="115" t="s">
        <v>3</v>
      </c>
      <c r="J75" s="115" t="s">
        <v>3</v>
      </c>
      <c r="K75" s="116">
        <f>SUM(K76:K78)</f>
        <v>29939</v>
      </c>
      <c r="L75" s="116">
        <f>SUM(L76:L78)</f>
        <v>0</v>
      </c>
      <c r="M75" s="116">
        <f>SUM(M76:M78)</f>
        <v>29939</v>
      </c>
      <c r="N75" s="117"/>
      <c r="O75" s="116">
        <f>SUM(O76:O78)</f>
        <v>284.5</v>
      </c>
      <c r="P75" s="116">
        <f>SUM(P76:P78)</f>
        <v>30223.5</v>
      </c>
      <c r="Q75" s="117" t="s">
        <v>281</v>
      </c>
      <c r="R75" s="116">
        <f>SUM(R76:R78)</f>
        <v>2065.4</v>
      </c>
      <c r="S75" s="116">
        <f>SUM(S76:S78)</f>
        <v>32288.899999999998</v>
      </c>
      <c r="T75" s="116"/>
      <c r="U75" s="116">
        <f>SUM(S75+T75)</f>
        <v>32288.899999999998</v>
      </c>
      <c r="V75" s="118"/>
      <c r="W75" s="119">
        <f>SUM(W76:W78)</f>
        <v>0</v>
      </c>
      <c r="X75" s="116">
        <f t="shared" si="16"/>
        <v>32288.899999999998</v>
      </c>
      <c r="Y75" s="120"/>
    </row>
    <row r="76" spans="1:25" s="123" customFormat="1" ht="43.5" hidden="1" customHeight="1" outlineLevel="1" x14ac:dyDescent="0.2">
      <c r="A76" s="122"/>
      <c r="B76" s="92"/>
      <c r="C76" s="101"/>
      <c r="D76" s="155" t="s">
        <v>100</v>
      </c>
      <c r="E76" s="155"/>
      <c r="F76" s="155"/>
      <c r="G76" s="155"/>
      <c r="H76" s="15" t="s">
        <v>26</v>
      </c>
      <c r="I76" s="15" t="s">
        <v>1</v>
      </c>
      <c r="J76" s="15" t="s">
        <v>9</v>
      </c>
      <c r="K76" s="29">
        <v>5300</v>
      </c>
      <c r="L76" s="29"/>
      <c r="M76" s="29">
        <f t="shared" si="14"/>
        <v>5300</v>
      </c>
      <c r="N76" s="28"/>
      <c r="O76" s="29">
        <v>-414.5</v>
      </c>
      <c r="P76" s="29">
        <f>M76+O76</f>
        <v>4885.5</v>
      </c>
      <c r="Q76" s="28" t="s">
        <v>302</v>
      </c>
      <c r="R76" s="29">
        <f>300-138-50.2</f>
        <v>111.8</v>
      </c>
      <c r="S76" s="29">
        <f>P76+R76</f>
        <v>4997.3</v>
      </c>
      <c r="T76" s="29"/>
      <c r="U76" s="29">
        <f t="shared" ref="U76:U78" si="17">SUM(S76+T76)</f>
        <v>4997.3</v>
      </c>
      <c r="V76" s="28"/>
      <c r="W76" s="104">
        <f>-37</f>
        <v>-37</v>
      </c>
      <c r="X76" s="29">
        <f t="shared" si="16"/>
        <v>4960.3</v>
      </c>
      <c r="Y76" s="91" t="s">
        <v>411</v>
      </c>
    </row>
    <row r="77" spans="1:25" s="123" customFormat="1" ht="80.25" hidden="1" customHeight="1" outlineLevel="1" x14ac:dyDescent="0.2">
      <c r="A77" s="122"/>
      <c r="B77" s="92"/>
      <c r="C77" s="101"/>
      <c r="D77" s="155" t="s">
        <v>101</v>
      </c>
      <c r="E77" s="155"/>
      <c r="F77" s="155"/>
      <c r="G77" s="155"/>
      <c r="H77" s="15" t="s">
        <v>26</v>
      </c>
      <c r="I77" s="15" t="s">
        <v>1</v>
      </c>
      <c r="J77" s="15" t="s">
        <v>8</v>
      </c>
      <c r="K77" s="29">
        <v>22118.9</v>
      </c>
      <c r="L77" s="29"/>
      <c r="M77" s="29">
        <f t="shared" si="14"/>
        <v>22118.9</v>
      </c>
      <c r="N77" s="28"/>
      <c r="O77" s="29">
        <f>600+99</f>
        <v>699</v>
      </c>
      <c r="P77" s="29">
        <f>M77+O77</f>
        <v>22817.9</v>
      </c>
      <c r="Q77" s="28" t="s">
        <v>303</v>
      </c>
      <c r="R77" s="29">
        <f>1765.4+50.2</f>
        <v>1815.6000000000001</v>
      </c>
      <c r="S77" s="29">
        <f>P77+R77</f>
        <v>24633.5</v>
      </c>
      <c r="T77" s="29"/>
      <c r="U77" s="29">
        <f t="shared" si="17"/>
        <v>24633.5</v>
      </c>
      <c r="V77" s="28"/>
      <c r="W77" s="104">
        <f>37</f>
        <v>37</v>
      </c>
      <c r="X77" s="29">
        <f t="shared" si="16"/>
        <v>24670.5</v>
      </c>
      <c r="Y77" s="91" t="s">
        <v>412</v>
      </c>
    </row>
    <row r="78" spans="1:25" s="123" customFormat="1" ht="28.5" hidden="1" customHeight="1" outlineLevel="1" x14ac:dyDescent="0.2">
      <c r="A78" s="122"/>
      <c r="B78" s="92"/>
      <c r="C78" s="101"/>
      <c r="D78" s="155" t="s">
        <v>102</v>
      </c>
      <c r="E78" s="155"/>
      <c r="F78" s="155"/>
      <c r="G78" s="155"/>
      <c r="H78" s="15" t="s">
        <v>26</v>
      </c>
      <c r="I78" s="15" t="s">
        <v>1</v>
      </c>
      <c r="J78" s="15" t="s">
        <v>16</v>
      </c>
      <c r="K78" s="29">
        <v>2520.1</v>
      </c>
      <c r="L78" s="29"/>
      <c r="M78" s="29">
        <f t="shared" si="14"/>
        <v>2520.1</v>
      </c>
      <c r="N78" s="28"/>
      <c r="O78" s="29"/>
      <c r="P78" s="29">
        <f>M78+O78</f>
        <v>2520.1</v>
      </c>
      <c r="Q78" s="28"/>
      <c r="R78" s="29">
        <v>138</v>
      </c>
      <c r="S78" s="29">
        <f>P78+R78</f>
        <v>2658.1</v>
      </c>
      <c r="T78" s="29"/>
      <c r="U78" s="29">
        <f t="shared" si="17"/>
        <v>2658.1</v>
      </c>
      <c r="V78" s="28"/>
      <c r="W78" s="104"/>
      <c r="X78" s="29">
        <f t="shared" si="16"/>
        <v>2658.1</v>
      </c>
      <c r="Y78" s="91"/>
    </row>
    <row r="79" spans="1:25" s="121" customFormat="1" ht="23.25" customHeight="1" collapsed="1" x14ac:dyDescent="0.2">
      <c r="A79" s="114"/>
      <c r="B79" s="158" t="s">
        <v>103</v>
      </c>
      <c r="C79" s="159"/>
      <c r="D79" s="159"/>
      <c r="E79" s="159"/>
      <c r="F79" s="159"/>
      <c r="G79" s="159"/>
      <c r="H79" s="115" t="s">
        <v>25</v>
      </c>
      <c r="I79" s="115" t="s">
        <v>3</v>
      </c>
      <c r="J79" s="115" t="s">
        <v>3</v>
      </c>
      <c r="K79" s="116">
        <f>K80+K83+K85</f>
        <v>211393.09999999998</v>
      </c>
      <c r="L79" s="116">
        <f>L80+L83+L85</f>
        <v>-17506.8</v>
      </c>
      <c r="M79" s="116">
        <f>M80+M83+M85</f>
        <v>193886.3</v>
      </c>
      <c r="N79" s="117"/>
      <c r="O79" s="116">
        <f>O80+O83+O85</f>
        <v>35314.300000000003</v>
      </c>
      <c r="P79" s="116">
        <f>P80+P83+P85</f>
        <v>229200.6</v>
      </c>
      <c r="Q79" s="117"/>
      <c r="R79" s="116">
        <f>R80+R83+R85</f>
        <v>47765.7</v>
      </c>
      <c r="S79" s="116">
        <f>S80+S83+S85</f>
        <v>276966.3</v>
      </c>
      <c r="T79" s="116"/>
      <c r="U79" s="116">
        <f>SUM(S79+T79)</f>
        <v>276966.3</v>
      </c>
      <c r="V79" s="118"/>
      <c r="W79" s="119">
        <f>SUM(W80,W83,W85)</f>
        <v>29800</v>
      </c>
      <c r="X79" s="116">
        <f t="shared" si="16"/>
        <v>306766.3</v>
      </c>
      <c r="Y79" s="120"/>
    </row>
    <row r="80" spans="1:25" s="139" customFormat="1" ht="35.25" customHeight="1" x14ac:dyDescent="0.2">
      <c r="A80" s="132"/>
      <c r="B80" s="133"/>
      <c r="C80" s="157" t="s">
        <v>104</v>
      </c>
      <c r="D80" s="156"/>
      <c r="E80" s="156"/>
      <c r="F80" s="156"/>
      <c r="G80" s="156"/>
      <c r="H80" s="134" t="s">
        <v>25</v>
      </c>
      <c r="I80" s="134" t="s">
        <v>12</v>
      </c>
      <c r="J80" s="134" t="s">
        <v>3</v>
      </c>
      <c r="K80" s="135">
        <f>SUM(K81:K82)</f>
        <v>110643.4</v>
      </c>
      <c r="L80" s="135">
        <f>SUM(L81:L82)</f>
        <v>-17506.8</v>
      </c>
      <c r="M80" s="135">
        <f>SUM(M81:M82)</f>
        <v>93136.599999999991</v>
      </c>
      <c r="N80" s="136" t="s">
        <v>183</v>
      </c>
      <c r="O80" s="135">
        <f>SUM(O81:O82)</f>
        <v>25961</v>
      </c>
      <c r="P80" s="135">
        <f>SUM(P81:P82)</f>
        <v>119097.60000000001</v>
      </c>
      <c r="Q80" s="136" t="s">
        <v>255</v>
      </c>
      <c r="R80" s="135">
        <f>SUM(R81:R82)</f>
        <v>-234.3</v>
      </c>
      <c r="S80" s="135">
        <f>SUM(S81:S82)</f>
        <v>118863.3</v>
      </c>
      <c r="T80" s="135"/>
      <c r="U80" s="135">
        <f t="shared" ref="U80:U86" si="18">SUM(S80+T80)</f>
        <v>118863.3</v>
      </c>
      <c r="V80" s="136"/>
      <c r="W80" s="137">
        <f>SUM(W81:W82)</f>
        <v>0</v>
      </c>
      <c r="X80" s="135">
        <f t="shared" si="16"/>
        <v>118863.3</v>
      </c>
      <c r="Y80" s="138"/>
    </row>
    <row r="81" spans="1:25" ht="39" hidden="1" customHeight="1" outlineLevel="1" x14ac:dyDescent="0.2">
      <c r="A81" s="13"/>
      <c r="B81" s="92"/>
      <c r="C81" s="88"/>
      <c r="D81" s="154" t="s">
        <v>105</v>
      </c>
      <c r="E81" s="155"/>
      <c r="F81" s="155"/>
      <c r="G81" s="155"/>
      <c r="H81" s="15" t="s">
        <v>25</v>
      </c>
      <c r="I81" s="15" t="s">
        <v>12</v>
      </c>
      <c r="J81" s="15" t="s">
        <v>9</v>
      </c>
      <c r="K81" s="29">
        <v>103143.4</v>
      </c>
      <c r="L81" s="29">
        <f>-21300+3622.3</f>
        <v>-17677.7</v>
      </c>
      <c r="M81" s="29">
        <f t="shared" si="14"/>
        <v>85465.7</v>
      </c>
      <c r="N81" s="28" t="s">
        <v>185</v>
      </c>
      <c r="O81" s="29">
        <f>15307.8-8500-4386.9-850.4+16769.2+7744.5+805.7-510</f>
        <v>26379.9</v>
      </c>
      <c r="P81" s="29">
        <f>M81+O81</f>
        <v>111845.6</v>
      </c>
      <c r="Q81" s="28" t="s">
        <v>254</v>
      </c>
      <c r="R81" s="29">
        <f>-164.8</f>
        <v>-164.8</v>
      </c>
      <c r="S81" s="29">
        <f>P81+R81</f>
        <v>111680.8</v>
      </c>
      <c r="T81" s="29"/>
      <c r="U81" s="29">
        <f t="shared" si="18"/>
        <v>111680.8</v>
      </c>
      <c r="V81" s="28"/>
      <c r="W81" s="104"/>
      <c r="X81" s="29">
        <f t="shared" si="16"/>
        <v>111680.8</v>
      </c>
      <c r="Y81" s="91"/>
    </row>
    <row r="82" spans="1:25" ht="32.25" hidden="1" customHeight="1" outlineLevel="1" x14ac:dyDescent="0.2">
      <c r="A82" s="13"/>
      <c r="B82" s="92"/>
      <c r="C82" s="88"/>
      <c r="D82" s="154" t="s">
        <v>106</v>
      </c>
      <c r="E82" s="155"/>
      <c r="F82" s="155"/>
      <c r="G82" s="155"/>
      <c r="H82" s="15" t="s">
        <v>25</v>
      </c>
      <c r="I82" s="15" t="s">
        <v>12</v>
      </c>
      <c r="J82" s="15" t="s">
        <v>8</v>
      </c>
      <c r="K82" s="29">
        <v>7500</v>
      </c>
      <c r="L82" s="29">
        <v>170.9</v>
      </c>
      <c r="M82" s="29">
        <f t="shared" si="14"/>
        <v>7670.9</v>
      </c>
      <c r="N82" s="28" t="s">
        <v>184</v>
      </c>
      <c r="O82" s="29">
        <v>-418.9</v>
      </c>
      <c r="P82" s="29">
        <f>M82+O82</f>
        <v>7252</v>
      </c>
      <c r="Q82" s="28" t="s">
        <v>253</v>
      </c>
      <c r="R82" s="29">
        <f>-69.5</f>
        <v>-69.5</v>
      </c>
      <c r="S82" s="29">
        <f>P82+R82</f>
        <v>7182.5</v>
      </c>
      <c r="T82" s="29"/>
      <c r="U82" s="29">
        <f t="shared" si="18"/>
        <v>7182.5</v>
      </c>
      <c r="V82" s="28"/>
      <c r="W82" s="104"/>
      <c r="X82" s="29">
        <f t="shared" si="16"/>
        <v>7182.5</v>
      </c>
      <c r="Y82" s="91"/>
    </row>
    <row r="83" spans="1:25" s="139" customFormat="1" ht="59.25" customHeight="1" collapsed="1" x14ac:dyDescent="0.2">
      <c r="A83" s="132"/>
      <c r="B83" s="133"/>
      <c r="C83" s="157" t="s">
        <v>107</v>
      </c>
      <c r="D83" s="156"/>
      <c r="E83" s="156"/>
      <c r="F83" s="156"/>
      <c r="G83" s="156"/>
      <c r="H83" s="134" t="s">
        <v>25</v>
      </c>
      <c r="I83" s="134" t="s">
        <v>10</v>
      </c>
      <c r="J83" s="134" t="s">
        <v>3</v>
      </c>
      <c r="K83" s="135">
        <f>SUM(K84)</f>
        <v>96749.7</v>
      </c>
      <c r="L83" s="135">
        <f t="shared" ref="L83:S83" si="19">SUM(L84)</f>
        <v>0</v>
      </c>
      <c r="M83" s="135">
        <f t="shared" si="19"/>
        <v>96749.7</v>
      </c>
      <c r="N83" s="136"/>
      <c r="O83" s="135">
        <f t="shared" si="19"/>
        <v>10673.3</v>
      </c>
      <c r="P83" s="135">
        <f t="shared" si="19"/>
        <v>107423</v>
      </c>
      <c r="Q83" s="136" t="s">
        <v>207</v>
      </c>
      <c r="R83" s="135">
        <f t="shared" si="19"/>
        <v>48000</v>
      </c>
      <c r="S83" s="135">
        <f t="shared" si="19"/>
        <v>155423</v>
      </c>
      <c r="T83" s="135"/>
      <c r="U83" s="135">
        <f t="shared" si="18"/>
        <v>155423</v>
      </c>
      <c r="V83" s="136"/>
      <c r="W83" s="137">
        <f>SUM(W84)</f>
        <v>29800</v>
      </c>
      <c r="X83" s="135">
        <f t="shared" si="16"/>
        <v>185223</v>
      </c>
      <c r="Y83" s="138" t="s">
        <v>414</v>
      </c>
    </row>
    <row r="84" spans="1:25" ht="45" hidden="1" outlineLevel="1" x14ac:dyDescent="0.2">
      <c r="A84" s="13"/>
      <c r="B84" s="92"/>
      <c r="C84" s="88"/>
      <c r="D84" s="154" t="s">
        <v>108</v>
      </c>
      <c r="E84" s="155"/>
      <c r="F84" s="155"/>
      <c r="G84" s="155"/>
      <c r="H84" s="15" t="s">
        <v>25</v>
      </c>
      <c r="I84" s="15" t="s">
        <v>10</v>
      </c>
      <c r="J84" s="15" t="s">
        <v>9</v>
      </c>
      <c r="K84" s="29">
        <v>96749.7</v>
      </c>
      <c r="L84" s="29"/>
      <c r="M84" s="29">
        <f t="shared" si="14"/>
        <v>96749.7</v>
      </c>
      <c r="N84" s="28"/>
      <c r="O84" s="29">
        <v>10673.3</v>
      </c>
      <c r="P84" s="29">
        <f>M84+O84</f>
        <v>107423</v>
      </c>
      <c r="Q84" s="28" t="s">
        <v>207</v>
      </c>
      <c r="R84" s="29">
        <f>30000+18000</f>
        <v>48000</v>
      </c>
      <c r="S84" s="29">
        <f>P84+R84</f>
        <v>155423</v>
      </c>
      <c r="T84" s="29"/>
      <c r="U84" s="29">
        <f t="shared" si="18"/>
        <v>155423</v>
      </c>
      <c r="V84" s="28"/>
      <c r="W84" s="104">
        <v>29800</v>
      </c>
      <c r="X84" s="29">
        <f t="shared" si="16"/>
        <v>185223</v>
      </c>
      <c r="Y84" s="91" t="s">
        <v>414</v>
      </c>
    </row>
    <row r="85" spans="1:25" s="139" customFormat="1" ht="27.75" customHeight="1" collapsed="1" x14ac:dyDescent="0.2">
      <c r="A85" s="132"/>
      <c r="B85" s="133"/>
      <c r="C85" s="157" t="s">
        <v>110</v>
      </c>
      <c r="D85" s="156"/>
      <c r="E85" s="156"/>
      <c r="F85" s="156"/>
      <c r="G85" s="156"/>
      <c r="H85" s="134" t="s">
        <v>25</v>
      </c>
      <c r="I85" s="134" t="s">
        <v>13</v>
      </c>
      <c r="J85" s="134" t="s">
        <v>3</v>
      </c>
      <c r="K85" s="135">
        <f>SUM(K86)</f>
        <v>4000</v>
      </c>
      <c r="L85" s="135">
        <f t="shared" ref="L85:S85" si="20">SUM(L86)</f>
        <v>0</v>
      </c>
      <c r="M85" s="135">
        <f t="shared" si="20"/>
        <v>4000</v>
      </c>
      <c r="N85" s="136"/>
      <c r="O85" s="135">
        <f t="shared" si="20"/>
        <v>-1320</v>
      </c>
      <c r="P85" s="135">
        <f t="shared" si="20"/>
        <v>2680</v>
      </c>
      <c r="Q85" s="136" t="s">
        <v>228</v>
      </c>
      <c r="R85" s="135">
        <f t="shared" si="20"/>
        <v>0</v>
      </c>
      <c r="S85" s="135">
        <f t="shared" si="20"/>
        <v>2680</v>
      </c>
      <c r="T85" s="135"/>
      <c r="U85" s="135">
        <f t="shared" si="18"/>
        <v>2680</v>
      </c>
      <c r="V85" s="136"/>
      <c r="W85" s="137">
        <f>SUM(W86)</f>
        <v>0</v>
      </c>
      <c r="X85" s="135">
        <f t="shared" si="16"/>
        <v>2680</v>
      </c>
      <c r="Y85" s="138"/>
    </row>
    <row r="86" spans="1:25" ht="33.75" hidden="1" customHeight="1" outlineLevel="1" x14ac:dyDescent="0.2">
      <c r="A86" s="13"/>
      <c r="B86" s="92"/>
      <c r="C86" s="88"/>
      <c r="D86" s="154" t="s">
        <v>109</v>
      </c>
      <c r="E86" s="155"/>
      <c r="F86" s="155"/>
      <c r="G86" s="155"/>
      <c r="H86" s="15" t="s">
        <v>25</v>
      </c>
      <c r="I86" s="15" t="s">
        <v>13</v>
      </c>
      <c r="J86" s="15" t="s">
        <v>9</v>
      </c>
      <c r="K86" s="29">
        <v>4000</v>
      </c>
      <c r="L86" s="29"/>
      <c r="M86" s="29">
        <f t="shared" si="14"/>
        <v>4000</v>
      </c>
      <c r="N86" s="28"/>
      <c r="O86" s="29">
        <v>-1320</v>
      </c>
      <c r="P86" s="29">
        <f>M86+O86</f>
        <v>2680</v>
      </c>
      <c r="Q86" s="28" t="s">
        <v>228</v>
      </c>
      <c r="R86" s="29"/>
      <c r="S86" s="29">
        <f>P86+R86</f>
        <v>2680</v>
      </c>
      <c r="T86" s="29"/>
      <c r="U86" s="29">
        <f t="shared" si="18"/>
        <v>2680</v>
      </c>
      <c r="V86" s="28"/>
      <c r="W86" s="104"/>
      <c r="X86" s="29">
        <f t="shared" si="16"/>
        <v>2680</v>
      </c>
      <c r="Y86" s="91"/>
    </row>
    <row r="87" spans="1:25" s="121" customFormat="1" ht="32.25" customHeight="1" collapsed="1" x14ac:dyDescent="0.2">
      <c r="A87" s="114"/>
      <c r="B87" s="158" t="s">
        <v>111</v>
      </c>
      <c r="C87" s="159"/>
      <c r="D87" s="159"/>
      <c r="E87" s="159"/>
      <c r="F87" s="159"/>
      <c r="G87" s="159"/>
      <c r="H87" s="115" t="s">
        <v>23</v>
      </c>
      <c r="I87" s="115" t="s">
        <v>3</v>
      </c>
      <c r="J87" s="115" t="s">
        <v>3</v>
      </c>
      <c r="K87" s="116">
        <f>K88+K93+K98+K100+K102</f>
        <v>85514.799999999988</v>
      </c>
      <c r="L87" s="116">
        <f>L88+L93+L98+L100+L102</f>
        <v>8763.2000000000007</v>
      </c>
      <c r="M87" s="116">
        <f>M88+M93+M98+M100+M102</f>
        <v>94277.999999999985</v>
      </c>
      <c r="N87" s="117"/>
      <c r="O87" s="116">
        <f>O88+O93+O98+O100+O102</f>
        <v>131.50000000000023</v>
      </c>
      <c r="P87" s="116">
        <f>P88+P93+P98+P100+P102</f>
        <v>94409.5</v>
      </c>
      <c r="Q87" s="117"/>
      <c r="R87" s="116">
        <f>R88+R93+R98+R100+R102</f>
        <v>12274.700000000003</v>
      </c>
      <c r="S87" s="116">
        <f>S88+S93+S98+S100+S102</f>
        <v>106684.2</v>
      </c>
      <c r="T87" s="116"/>
      <c r="U87" s="116">
        <f>SUM(S87+T87)</f>
        <v>106684.2</v>
      </c>
      <c r="V87" s="118"/>
      <c r="W87" s="119">
        <f>SUM(W88,W93,W98,W100,W102)</f>
        <v>-117.90000000000005</v>
      </c>
      <c r="X87" s="116">
        <f t="shared" si="16"/>
        <v>106566.3</v>
      </c>
      <c r="Y87" s="120"/>
    </row>
    <row r="88" spans="1:25" s="148" customFormat="1" ht="153.75" customHeight="1" x14ac:dyDescent="0.2">
      <c r="A88" s="147"/>
      <c r="B88" s="133"/>
      <c r="C88" s="156" t="s">
        <v>112</v>
      </c>
      <c r="D88" s="156"/>
      <c r="E88" s="156"/>
      <c r="F88" s="156"/>
      <c r="G88" s="156"/>
      <c r="H88" s="134" t="s">
        <v>23</v>
      </c>
      <c r="I88" s="134" t="s">
        <v>12</v>
      </c>
      <c r="J88" s="134" t="s">
        <v>3</v>
      </c>
      <c r="K88" s="135">
        <f>SUM(K89:K92)</f>
        <v>50447.6</v>
      </c>
      <c r="L88" s="135">
        <f>SUM(L89:L92)</f>
        <v>-1023.7</v>
      </c>
      <c r="M88" s="135">
        <f>SUM(M89:M92)</f>
        <v>49423.9</v>
      </c>
      <c r="N88" s="136" t="s">
        <v>191</v>
      </c>
      <c r="O88" s="135">
        <f>SUM(O89:O92)</f>
        <v>-1467.4</v>
      </c>
      <c r="P88" s="135">
        <f>SUM(P89:P92)</f>
        <v>47956.5</v>
      </c>
      <c r="Q88" s="136" t="s">
        <v>252</v>
      </c>
      <c r="R88" s="135">
        <f>SUM(R89:R92)</f>
        <v>5463.0000000000009</v>
      </c>
      <c r="S88" s="135">
        <f>SUM(S89:S92)</f>
        <v>53419.5</v>
      </c>
      <c r="T88" s="135"/>
      <c r="U88" s="135">
        <f t="shared" ref="U88:U116" si="21">SUM(S88+T88)</f>
        <v>53419.5</v>
      </c>
      <c r="V88" s="136"/>
      <c r="W88" s="137">
        <f>SUM(W89:W92)</f>
        <v>7.1999999999999602</v>
      </c>
      <c r="X88" s="135">
        <f t="shared" si="16"/>
        <v>53426.7</v>
      </c>
      <c r="Y88" s="138" t="s">
        <v>439</v>
      </c>
    </row>
    <row r="89" spans="1:25" s="123" customFormat="1" ht="52.5" hidden="1" customHeight="1" outlineLevel="1" x14ac:dyDescent="0.2">
      <c r="A89" s="122"/>
      <c r="B89" s="92"/>
      <c r="C89" s="101"/>
      <c r="D89" s="155" t="s">
        <v>113</v>
      </c>
      <c r="E89" s="155"/>
      <c r="F89" s="155"/>
      <c r="G89" s="155"/>
      <c r="H89" s="15" t="s">
        <v>23</v>
      </c>
      <c r="I89" s="15" t="s">
        <v>12</v>
      </c>
      <c r="J89" s="15" t="s">
        <v>9</v>
      </c>
      <c r="K89" s="29">
        <v>4074.4</v>
      </c>
      <c r="L89" s="29">
        <v>265.5</v>
      </c>
      <c r="M89" s="29">
        <f t="shared" si="14"/>
        <v>4339.8999999999996</v>
      </c>
      <c r="N89" s="28" t="s">
        <v>172</v>
      </c>
      <c r="O89" s="29">
        <v>-1400</v>
      </c>
      <c r="P89" s="29">
        <f>M89+O89</f>
        <v>2939.8999999999996</v>
      </c>
      <c r="Q89" s="28" t="s">
        <v>248</v>
      </c>
      <c r="R89" s="29">
        <f>9.3-12.7</f>
        <v>-3.3999999999999986</v>
      </c>
      <c r="S89" s="29">
        <f>P89+R89</f>
        <v>2936.4999999999995</v>
      </c>
      <c r="T89" s="29"/>
      <c r="U89" s="29">
        <f t="shared" si="21"/>
        <v>2936.4999999999995</v>
      </c>
      <c r="V89" s="28"/>
      <c r="W89" s="104">
        <f>-218.6</f>
        <v>-218.6</v>
      </c>
      <c r="X89" s="29">
        <f t="shared" si="16"/>
        <v>2717.8999999999996</v>
      </c>
      <c r="Y89" s="91" t="s">
        <v>419</v>
      </c>
    </row>
    <row r="90" spans="1:25" s="123" customFormat="1" ht="121.5" hidden="1" customHeight="1" outlineLevel="1" x14ac:dyDescent="0.2">
      <c r="A90" s="122"/>
      <c r="B90" s="92"/>
      <c r="C90" s="101"/>
      <c r="D90" s="155" t="s">
        <v>114</v>
      </c>
      <c r="E90" s="155"/>
      <c r="F90" s="155"/>
      <c r="G90" s="155"/>
      <c r="H90" s="15" t="s">
        <v>23</v>
      </c>
      <c r="I90" s="15" t="s">
        <v>12</v>
      </c>
      <c r="J90" s="15" t="s">
        <v>8</v>
      </c>
      <c r="K90" s="29">
        <v>39778.199999999997</v>
      </c>
      <c r="L90" s="29">
        <v>-1289.2</v>
      </c>
      <c r="M90" s="29">
        <f t="shared" ref="M90:M112" si="22">K90+L90</f>
        <v>38489</v>
      </c>
      <c r="N90" s="28" t="s">
        <v>186</v>
      </c>
      <c r="O90" s="29">
        <f>-20-45.4-18-4</f>
        <v>-87.4</v>
      </c>
      <c r="P90" s="29">
        <f>M90+O90</f>
        <v>38401.599999999999</v>
      </c>
      <c r="Q90" s="28" t="s">
        <v>251</v>
      </c>
      <c r="R90" s="29">
        <f>-100-6.6-18.4-100-100+4700-54.7</f>
        <v>4320.3</v>
      </c>
      <c r="S90" s="29">
        <f>P90+R90</f>
        <v>42721.9</v>
      </c>
      <c r="T90" s="29"/>
      <c r="U90" s="29">
        <f t="shared" si="21"/>
        <v>42721.9</v>
      </c>
      <c r="V90" s="28"/>
      <c r="W90" s="104">
        <f>-350-10-0.1-413.4+999.3</f>
        <v>225.79999999999995</v>
      </c>
      <c r="X90" s="29">
        <f t="shared" si="16"/>
        <v>42947.700000000004</v>
      </c>
      <c r="Y90" s="91" t="s">
        <v>420</v>
      </c>
    </row>
    <row r="91" spans="1:25" s="123" customFormat="1" ht="27" hidden="1" customHeight="1" outlineLevel="1" x14ac:dyDescent="0.2">
      <c r="A91" s="122"/>
      <c r="B91" s="92"/>
      <c r="C91" s="101"/>
      <c r="D91" s="101"/>
      <c r="E91" s="101"/>
      <c r="F91" s="101"/>
      <c r="G91" s="101" t="s">
        <v>208</v>
      </c>
      <c r="H91" s="15">
        <v>14</v>
      </c>
      <c r="I91" s="15">
        <v>1</v>
      </c>
      <c r="J91" s="27" t="s">
        <v>16</v>
      </c>
      <c r="K91" s="29">
        <v>0</v>
      </c>
      <c r="L91" s="29"/>
      <c r="M91" s="29">
        <v>0</v>
      </c>
      <c r="N91" s="28"/>
      <c r="O91" s="29">
        <v>20</v>
      </c>
      <c r="P91" s="29">
        <f>M91+O91</f>
        <v>20</v>
      </c>
      <c r="Q91" s="28" t="s">
        <v>209</v>
      </c>
      <c r="R91" s="29">
        <f>-8.9</f>
        <v>-8.9</v>
      </c>
      <c r="S91" s="29">
        <f>P91+R91</f>
        <v>11.1</v>
      </c>
      <c r="T91" s="29"/>
      <c r="U91" s="29">
        <f t="shared" si="21"/>
        <v>11.1</v>
      </c>
      <c r="V91" s="28"/>
      <c r="W91" s="104"/>
      <c r="X91" s="29">
        <f t="shared" si="16"/>
        <v>11.1</v>
      </c>
      <c r="Y91" s="91"/>
    </row>
    <row r="92" spans="1:25" s="123" customFormat="1" ht="22.5" hidden="1" outlineLevel="1" x14ac:dyDescent="0.2">
      <c r="A92" s="122"/>
      <c r="B92" s="92"/>
      <c r="C92" s="101"/>
      <c r="D92" s="155" t="s">
        <v>115</v>
      </c>
      <c r="E92" s="155"/>
      <c r="F92" s="155"/>
      <c r="G92" s="155"/>
      <c r="H92" s="15" t="s">
        <v>23</v>
      </c>
      <c r="I92" s="15" t="s">
        <v>12</v>
      </c>
      <c r="J92" s="15" t="s">
        <v>7</v>
      </c>
      <c r="K92" s="29">
        <v>6595</v>
      </c>
      <c r="L92" s="29"/>
      <c r="M92" s="29">
        <f t="shared" si="22"/>
        <v>6595</v>
      </c>
      <c r="N92" s="28"/>
      <c r="O92" s="29"/>
      <c r="P92" s="29">
        <f>M92+O92</f>
        <v>6595</v>
      </c>
      <c r="Q92" s="28"/>
      <c r="R92" s="29">
        <v>1155</v>
      </c>
      <c r="S92" s="29">
        <f>P92+R92</f>
        <v>7750</v>
      </c>
      <c r="T92" s="29"/>
      <c r="U92" s="29">
        <f t="shared" si="21"/>
        <v>7750</v>
      </c>
      <c r="V92" s="28"/>
      <c r="W92" s="104"/>
      <c r="X92" s="29">
        <f t="shared" si="16"/>
        <v>7750</v>
      </c>
      <c r="Y92" s="91"/>
    </row>
    <row r="93" spans="1:25" s="148" customFormat="1" ht="29.25" customHeight="1" collapsed="1" x14ac:dyDescent="0.2">
      <c r="A93" s="147"/>
      <c r="B93" s="133"/>
      <c r="C93" s="156" t="s">
        <v>116</v>
      </c>
      <c r="D93" s="156"/>
      <c r="E93" s="156"/>
      <c r="F93" s="156"/>
      <c r="G93" s="156"/>
      <c r="H93" s="134" t="s">
        <v>23</v>
      </c>
      <c r="I93" s="134" t="s">
        <v>10</v>
      </c>
      <c r="J93" s="134" t="s">
        <v>3</v>
      </c>
      <c r="K93" s="135">
        <f>SUM(K94:K97)</f>
        <v>30267.199999999997</v>
      </c>
      <c r="L93" s="135">
        <f>SUM(L94:L97)</f>
        <v>11138.2</v>
      </c>
      <c r="M93" s="135">
        <f>SUM(M94:M97)</f>
        <v>41405.399999999994</v>
      </c>
      <c r="N93" s="136" t="s">
        <v>180</v>
      </c>
      <c r="O93" s="135">
        <f>SUM(O94:O97)</f>
        <v>1598.9000000000003</v>
      </c>
      <c r="P93" s="135">
        <f>SUM(P94:P97)</f>
        <v>43004.3</v>
      </c>
      <c r="Q93" s="136" t="s">
        <v>249</v>
      </c>
      <c r="R93" s="135">
        <f>SUM(R94:R97)</f>
        <v>6839.1</v>
      </c>
      <c r="S93" s="135">
        <f>SUM(S94:S97)</f>
        <v>49843.399999999994</v>
      </c>
      <c r="T93" s="135"/>
      <c r="U93" s="135">
        <f t="shared" si="21"/>
        <v>49843.399999999994</v>
      </c>
      <c r="V93" s="136"/>
      <c r="W93" s="137">
        <f>SUM(W94:W97)</f>
        <v>0</v>
      </c>
      <c r="X93" s="135">
        <f t="shared" si="16"/>
        <v>49843.399999999994</v>
      </c>
      <c r="Y93" s="138"/>
    </row>
    <row r="94" spans="1:25" s="123" customFormat="1" ht="138.75" hidden="1" customHeight="1" outlineLevel="1" x14ac:dyDescent="0.2">
      <c r="A94" s="122"/>
      <c r="B94" s="92"/>
      <c r="C94" s="101"/>
      <c r="D94" s="155" t="s">
        <v>117</v>
      </c>
      <c r="E94" s="155"/>
      <c r="F94" s="155"/>
      <c r="G94" s="155"/>
      <c r="H94" s="15" t="s">
        <v>23</v>
      </c>
      <c r="I94" s="15" t="s">
        <v>10</v>
      </c>
      <c r="J94" s="15" t="s">
        <v>9</v>
      </c>
      <c r="K94" s="29">
        <v>18306.599999999999</v>
      </c>
      <c r="L94" s="29">
        <v>-3500</v>
      </c>
      <c r="M94" s="29">
        <f t="shared" si="22"/>
        <v>14806.599999999999</v>
      </c>
      <c r="N94" s="28" t="s">
        <v>181</v>
      </c>
      <c r="O94" s="29">
        <f>1809.7-150.1+200+450+90-100-700.7</f>
        <v>1598.9000000000003</v>
      </c>
      <c r="P94" s="29">
        <f>M94+O94</f>
        <v>16405.5</v>
      </c>
      <c r="Q94" s="28" t="s">
        <v>250</v>
      </c>
      <c r="R94" s="29">
        <f>5074.3-1155-283.5-161.8</f>
        <v>3474</v>
      </c>
      <c r="S94" s="29">
        <f>P94+R94</f>
        <v>19879.5</v>
      </c>
      <c r="T94" s="29"/>
      <c r="U94" s="29">
        <f t="shared" si="21"/>
        <v>19879.5</v>
      </c>
      <c r="V94" s="28"/>
      <c r="W94" s="104"/>
      <c r="X94" s="29">
        <f t="shared" si="16"/>
        <v>19879.5</v>
      </c>
      <c r="Y94" s="91"/>
    </row>
    <row r="95" spans="1:25" s="123" customFormat="1" ht="37.5" hidden="1" customHeight="1" outlineLevel="1" x14ac:dyDescent="0.2">
      <c r="A95" s="122"/>
      <c r="B95" s="92"/>
      <c r="C95" s="101"/>
      <c r="D95" s="155" t="s">
        <v>118</v>
      </c>
      <c r="E95" s="155"/>
      <c r="F95" s="155"/>
      <c r="G95" s="155"/>
      <c r="H95" s="15" t="s">
        <v>23</v>
      </c>
      <c r="I95" s="15" t="s">
        <v>10</v>
      </c>
      <c r="J95" s="15" t="s">
        <v>8</v>
      </c>
      <c r="K95" s="29">
        <v>4000</v>
      </c>
      <c r="L95" s="29"/>
      <c r="M95" s="29">
        <f t="shared" si="22"/>
        <v>4000</v>
      </c>
      <c r="N95" s="28"/>
      <c r="O95" s="29"/>
      <c r="P95" s="29">
        <f>M95+O95</f>
        <v>4000</v>
      </c>
      <c r="Q95" s="28"/>
      <c r="R95" s="29">
        <f>3100+680</f>
        <v>3780</v>
      </c>
      <c r="S95" s="29">
        <f>P95+R95</f>
        <v>7780</v>
      </c>
      <c r="T95" s="29"/>
      <c r="U95" s="29">
        <f t="shared" si="21"/>
        <v>7780</v>
      </c>
      <c r="V95" s="28"/>
      <c r="W95" s="104"/>
      <c r="X95" s="29">
        <f t="shared" si="16"/>
        <v>7780</v>
      </c>
      <c r="Y95" s="91"/>
    </row>
    <row r="96" spans="1:25" s="123" customFormat="1" ht="68.25" hidden="1" customHeight="1" outlineLevel="1" x14ac:dyDescent="0.2">
      <c r="A96" s="122"/>
      <c r="B96" s="92"/>
      <c r="C96" s="101"/>
      <c r="D96" s="155" t="s">
        <v>119</v>
      </c>
      <c r="E96" s="155"/>
      <c r="F96" s="155"/>
      <c r="G96" s="155"/>
      <c r="H96" s="15" t="s">
        <v>23</v>
      </c>
      <c r="I96" s="15" t="s">
        <v>10</v>
      </c>
      <c r="J96" s="15" t="s">
        <v>16</v>
      </c>
      <c r="K96" s="29">
        <v>7960.6</v>
      </c>
      <c r="L96" s="29"/>
      <c r="M96" s="29">
        <f t="shared" si="22"/>
        <v>7960.6</v>
      </c>
      <c r="N96" s="28"/>
      <c r="O96" s="29"/>
      <c r="P96" s="29">
        <f>M96+O96</f>
        <v>7960.6</v>
      </c>
      <c r="Q96" s="28"/>
      <c r="R96" s="29">
        <f>-414.9</f>
        <v>-414.9</v>
      </c>
      <c r="S96" s="29">
        <f>P96+R96</f>
        <v>7545.7000000000007</v>
      </c>
      <c r="T96" s="29"/>
      <c r="U96" s="29">
        <f t="shared" si="21"/>
        <v>7545.7000000000007</v>
      </c>
      <c r="V96" s="28"/>
      <c r="W96" s="104"/>
      <c r="X96" s="29">
        <f t="shared" si="16"/>
        <v>7545.7000000000007</v>
      </c>
      <c r="Y96" s="91"/>
    </row>
    <row r="97" spans="1:25" s="123" customFormat="1" ht="68.25" hidden="1" customHeight="1" outlineLevel="1" x14ac:dyDescent="0.2">
      <c r="A97" s="122"/>
      <c r="B97" s="92"/>
      <c r="C97" s="101"/>
      <c r="D97" s="101"/>
      <c r="E97" s="101"/>
      <c r="F97" s="101"/>
      <c r="G97" s="101" t="s">
        <v>174</v>
      </c>
      <c r="H97" s="15" t="s">
        <v>23</v>
      </c>
      <c r="I97" s="15" t="s">
        <v>10</v>
      </c>
      <c r="J97" s="27" t="s">
        <v>6</v>
      </c>
      <c r="K97" s="29">
        <v>0</v>
      </c>
      <c r="L97" s="29">
        <v>14638.2</v>
      </c>
      <c r="M97" s="29">
        <f t="shared" si="22"/>
        <v>14638.2</v>
      </c>
      <c r="N97" s="28" t="s">
        <v>175</v>
      </c>
      <c r="O97" s="29"/>
      <c r="P97" s="29">
        <f>M97+O97</f>
        <v>14638.2</v>
      </c>
      <c r="Q97" s="28"/>
      <c r="R97" s="29"/>
      <c r="S97" s="29">
        <f>P97+R97</f>
        <v>14638.2</v>
      </c>
      <c r="T97" s="29"/>
      <c r="U97" s="29">
        <f t="shared" si="21"/>
        <v>14638.2</v>
      </c>
      <c r="V97" s="28"/>
      <c r="W97" s="104"/>
      <c r="X97" s="29">
        <f t="shared" si="16"/>
        <v>14638.2</v>
      </c>
      <c r="Y97" s="91"/>
    </row>
    <row r="98" spans="1:25" s="148" customFormat="1" ht="30" customHeight="1" collapsed="1" x14ac:dyDescent="0.2">
      <c r="A98" s="147"/>
      <c r="B98" s="133"/>
      <c r="C98" s="156" t="s">
        <v>120</v>
      </c>
      <c r="D98" s="156"/>
      <c r="E98" s="156"/>
      <c r="F98" s="156"/>
      <c r="G98" s="156"/>
      <c r="H98" s="134" t="s">
        <v>23</v>
      </c>
      <c r="I98" s="134" t="s">
        <v>13</v>
      </c>
      <c r="J98" s="134" t="s">
        <v>3</v>
      </c>
      <c r="K98" s="135">
        <f>SUM(K99)</f>
        <v>100</v>
      </c>
      <c r="L98" s="135">
        <f>SUM(L99)</f>
        <v>48.7</v>
      </c>
      <c r="M98" s="135">
        <f>SUM(M99)</f>
        <v>148.69999999999999</v>
      </c>
      <c r="N98" s="136" t="s">
        <v>173</v>
      </c>
      <c r="O98" s="135">
        <f>SUM(O99)</f>
        <v>0</v>
      </c>
      <c r="P98" s="135">
        <f>SUM(P99)</f>
        <v>148.69999999999999</v>
      </c>
      <c r="Q98" s="136"/>
      <c r="R98" s="135">
        <f>SUM(R99)</f>
        <v>-27.4</v>
      </c>
      <c r="S98" s="135">
        <f>SUM(S99)</f>
        <v>121.29999999999998</v>
      </c>
      <c r="T98" s="135"/>
      <c r="U98" s="135">
        <f t="shared" si="21"/>
        <v>121.29999999999998</v>
      </c>
      <c r="V98" s="136"/>
      <c r="W98" s="137">
        <f>SUM(W99)</f>
        <v>0</v>
      </c>
      <c r="X98" s="135">
        <f t="shared" si="16"/>
        <v>121.29999999999998</v>
      </c>
      <c r="Y98" s="138"/>
    </row>
    <row r="99" spans="1:25" s="123" customFormat="1" ht="45" hidden="1" outlineLevel="1" x14ac:dyDescent="0.2">
      <c r="A99" s="122"/>
      <c r="B99" s="92"/>
      <c r="C99" s="101"/>
      <c r="D99" s="155" t="s">
        <v>121</v>
      </c>
      <c r="E99" s="155"/>
      <c r="F99" s="155"/>
      <c r="G99" s="155"/>
      <c r="H99" s="15" t="s">
        <v>23</v>
      </c>
      <c r="I99" s="15" t="s">
        <v>13</v>
      </c>
      <c r="J99" s="15" t="s">
        <v>9</v>
      </c>
      <c r="K99" s="29">
        <v>100</v>
      </c>
      <c r="L99" s="29">
        <v>48.7</v>
      </c>
      <c r="M99" s="29">
        <f t="shared" si="22"/>
        <v>148.69999999999999</v>
      </c>
      <c r="N99" s="28" t="s">
        <v>173</v>
      </c>
      <c r="O99" s="29"/>
      <c r="P99" s="29">
        <f>M99+O99</f>
        <v>148.69999999999999</v>
      </c>
      <c r="Q99" s="28"/>
      <c r="R99" s="29">
        <f>-27.4</f>
        <v>-27.4</v>
      </c>
      <c r="S99" s="29">
        <f>P99+R99</f>
        <v>121.29999999999998</v>
      </c>
      <c r="T99" s="29"/>
      <c r="U99" s="29">
        <f t="shared" si="21"/>
        <v>121.29999999999998</v>
      </c>
      <c r="V99" s="28"/>
      <c r="W99" s="104"/>
      <c r="X99" s="29">
        <f t="shared" si="16"/>
        <v>121.29999999999998</v>
      </c>
      <c r="Y99" s="91"/>
    </row>
    <row r="100" spans="1:25" s="148" customFormat="1" ht="31.5" customHeight="1" collapsed="1" x14ac:dyDescent="0.2">
      <c r="A100" s="147"/>
      <c r="B100" s="133"/>
      <c r="C100" s="156" t="s">
        <v>122</v>
      </c>
      <c r="D100" s="156"/>
      <c r="E100" s="156"/>
      <c r="F100" s="156"/>
      <c r="G100" s="156"/>
      <c r="H100" s="134" t="s">
        <v>23</v>
      </c>
      <c r="I100" s="134" t="s">
        <v>24</v>
      </c>
      <c r="J100" s="134" t="s">
        <v>3</v>
      </c>
      <c r="K100" s="135">
        <f>SUM(K101)</f>
        <v>3000</v>
      </c>
      <c r="L100" s="135">
        <f>SUM(L101)</f>
        <v>-1400</v>
      </c>
      <c r="M100" s="135">
        <f>SUM(M101)</f>
        <v>1600</v>
      </c>
      <c r="N100" s="136" t="s">
        <v>176</v>
      </c>
      <c r="O100" s="135">
        <f>SUM(O101)</f>
        <v>0</v>
      </c>
      <c r="P100" s="135">
        <f>SUM(P101)</f>
        <v>1600</v>
      </c>
      <c r="Q100" s="136"/>
      <c r="R100" s="135">
        <f>SUM(R101)</f>
        <v>0</v>
      </c>
      <c r="S100" s="135">
        <f>SUM(S101)</f>
        <v>1600</v>
      </c>
      <c r="T100" s="135"/>
      <c r="U100" s="135">
        <f t="shared" si="21"/>
        <v>1600</v>
      </c>
      <c r="V100" s="136"/>
      <c r="W100" s="137">
        <f>SUM(W101)</f>
        <v>-125.10000000000001</v>
      </c>
      <c r="X100" s="135">
        <f t="shared" si="16"/>
        <v>1474.9</v>
      </c>
      <c r="Y100" s="138" t="s">
        <v>421</v>
      </c>
    </row>
    <row r="101" spans="1:25" s="123" customFormat="1" ht="36.75" hidden="1" customHeight="1" outlineLevel="1" x14ac:dyDescent="0.2">
      <c r="A101" s="122"/>
      <c r="B101" s="92"/>
      <c r="C101" s="101"/>
      <c r="D101" s="155" t="s">
        <v>123</v>
      </c>
      <c r="E101" s="155"/>
      <c r="F101" s="155"/>
      <c r="G101" s="155"/>
      <c r="H101" s="15" t="s">
        <v>23</v>
      </c>
      <c r="I101" s="15" t="s">
        <v>24</v>
      </c>
      <c r="J101" s="15" t="s">
        <v>9</v>
      </c>
      <c r="K101" s="29">
        <v>3000</v>
      </c>
      <c r="L101" s="29">
        <v>-1400</v>
      </c>
      <c r="M101" s="29">
        <f t="shared" si="22"/>
        <v>1600</v>
      </c>
      <c r="N101" s="28" t="s">
        <v>176</v>
      </c>
      <c r="O101" s="29"/>
      <c r="P101" s="29">
        <f>M101+O101</f>
        <v>1600</v>
      </c>
      <c r="Q101" s="28"/>
      <c r="R101" s="29"/>
      <c r="S101" s="29">
        <f>P101+R101</f>
        <v>1600</v>
      </c>
      <c r="T101" s="29"/>
      <c r="U101" s="29">
        <f t="shared" si="21"/>
        <v>1600</v>
      </c>
      <c r="V101" s="28"/>
      <c r="W101" s="104">
        <f>-117.9-7.2</f>
        <v>-125.10000000000001</v>
      </c>
      <c r="X101" s="29">
        <f t="shared" si="16"/>
        <v>1474.9</v>
      </c>
      <c r="Y101" s="91" t="s">
        <v>421</v>
      </c>
    </row>
    <row r="102" spans="1:25" s="148" customFormat="1" ht="27.75" customHeight="1" collapsed="1" x14ac:dyDescent="0.2">
      <c r="A102" s="147"/>
      <c r="B102" s="133"/>
      <c r="C102" s="156" t="s">
        <v>124</v>
      </c>
      <c r="D102" s="156"/>
      <c r="E102" s="156"/>
      <c r="F102" s="156"/>
      <c r="G102" s="156"/>
      <c r="H102" s="134" t="s">
        <v>23</v>
      </c>
      <c r="I102" s="134" t="s">
        <v>22</v>
      </c>
      <c r="J102" s="134" t="s">
        <v>3</v>
      </c>
      <c r="K102" s="135">
        <f>SUM(K103)</f>
        <v>1700</v>
      </c>
      <c r="L102" s="135">
        <f t="shared" ref="L102:S102" si="23">SUM(L103)</f>
        <v>0</v>
      </c>
      <c r="M102" s="135">
        <f t="shared" si="23"/>
        <v>1700</v>
      </c>
      <c r="N102" s="136"/>
      <c r="O102" s="135">
        <f t="shared" si="23"/>
        <v>0</v>
      </c>
      <c r="P102" s="135">
        <f t="shared" si="23"/>
        <v>1700</v>
      </c>
      <c r="Q102" s="136"/>
      <c r="R102" s="135">
        <f t="shared" si="23"/>
        <v>0</v>
      </c>
      <c r="S102" s="135">
        <f t="shared" si="23"/>
        <v>1700</v>
      </c>
      <c r="T102" s="135"/>
      <c r="U102" s="135">
        <f t="shared" si="21"/>
        <v>1700</v>
      </c>
      <c r="V102" s="136"/>
      <c r="W102" s="137">
        <f>SUM(W103)</f>
        <v>0</v>
      </c>
      <c r="X102" s="135">
        <f t="shared" si="16"/>
        <v>1700</v>
      </c>
      <c r="Y102" s="138"/>
    </row>
    <row r="103" spans="1:25" s="123" customFormat="1" ht="38.25" hidden="1" customHeight="1" outlineLevel="1" x14ac:dyDescent="0.2">
      <c r="A103" s="122"/>
      <c r="B103" s="92"/>
      <c r="C103" s="101"/>
      <c r="D103" s="155" t="s">
        <v>125</v>
      </c>
      <c r="E103" s="155"/>
      <c r="F103" s="155"/>
      <c r="G103" s="155"/>
      <c r="H103" s="15" t="s">
        <v>23</v>
      </c>
      <c r="I103" s="15" t="s">
        <v>22</v>
      </c>
      <c r="J103" s="15" t="s">
        <v>9</v>
      </c>
      <c r="K103" s="29">
        <v>1700</v>
      </c>
      <c r="L103" s="29"/>
      <c r="M103" s="29">
        <f t="shared" si="22"/>
        <v>1700</v>
      </c>
      <c r="N103" s="28"/>
      <c r="O103" s="29"/>
      <c r="P103" s="29">
        <f>M103+O103</f>
        <v>1700</v>
      </c>
      <c r="Q103" s="28"/>
      <c r="R103" s="29"/>
      <c r="S103" s="29">
        <f>P103+R103</f>
        <v>1700</v>
      </c>
      <c r="T103" s="29"/>
      <c r="U103" s="29">
        <f t="shared" si="21"/>
        <v>1700</v>
      </c>
      <c r="V103" s="28"/>
      <c r="W103" s="104"/>
      <c r="X103" s="29">
        <f t="shared" si="16"/>
        <v>1700</v>
      </c>
      <c r="Y103" s="91"/>
    </row>
    <row r="104" spans="1:25" s="121" customFormat="1" ht="33.75" customHeight="1" collapsed="1" x14ac:dyDescent="0.2">
      <c r="A104" s="114"/>
      <c r="B104" s="158" t="s">
        <v>126</v>
      </c>
      <c r="C104" s="159"/>
      <c r="D104" s="159"/>
      <c r="E104" s="159"/>
      <c r="F104" s="159"/>
      <c r="G104" s="159"/>
      <c r="H104" s="115" t="s">
        <v>21</v>
      </c>
      <c r="I104" s="115" t="s">
        <v>3</v>
      </c>
      <c r="J104" s="115" t="s">
        <v>3</v>
      </c>
      <c r="K104" s="116">
        <f>SUM(K105)</f>
        <v>11965.1</v>
      </c>
      <c r="L104" s="116">
        <f t="shared" ref="L104:S104" si="24">SUM(L105)</f>
        <v>0</v>
      </c>
      <c r="M104" s="116">
        <f t="shared" si="24"/>
        <v>11965.1</v>
      </c>
      <c r="N104" s="117"/>
      <c r="O104" s="116">
        <f t="shared" si="24"/>
        <v>-1965.1000000000001</v>
      </c>
      <c r="P104" s="116">
        <f t="shared" si="24"/>
        <v>10000</v>
      </c>
      <c r="Q104" s="117" t="s">
        <v>217</v>
      </c>
      <c r="R104" s="116">
        <f t="shared" si="24"/>
        <v>0</v>
      </c>
      <c r="S104" s="116">
        <f t="shared" si="24"/>
        <v>10000</v>
      </c>
      <c r="T104" s="116">
        <f>T105</f>
        <v>-222.40000000000003</v>
      </c>
      <c r="U104" s="116">
        <f t="shared" si="21"/>
        <v>9777.6</v>
      </c>
      <c r="V104" s="118" t="s">
        <v>405</v>
      </c>
      <c r="W104" s="119">
        <f>SUM(W105)</f>
        <v>602.5</v>
      </c>
      <c r="X104" s="116">
        <f t="shared" si="16"/>
        <v>10380.1</v>
      </c>
      <c r="Y104" s="120" t="s">
        <v>422</v>
      </c>
    </row>
    <row r="105" spans="1:25" ht="43.5" hidden="1" customHeight="1" outlineLevel="1" x14ac:dyDescent="0.2">
      <c r="A105" s="13"/>
      <c r="B105" s="92"/>
      <c r="C105" s="88"/>
      <c r="D105" s="154" t="s">
        <v>127</v>
      </c>
      <c r="E105" s="155"/>
      <c r="F105" s="155"/>
      <c r="G105" s="155"/>
      <c r="H105" s="15" t="s">
        <v>21</v>
      </c>
      <c r="I105" s="15" t="s">
        <v>1</v>
      </c>
      <c r="J105" s="15" t="s">
        <v>9</v>
      </c>
      <c r="K105" s="29">
        <v>11965.1</v>
      </c>
      <c r="L105" s="29"/>
      <c r="M105" s="29">
        <f t="shared" si="22"/>
        <v>11965.1</v>
      </c>
      <c r="N105" s="28"/>
      <c r="O105" s="29">
        <f>-216.2-1748.9</f>
        <v>-1965.1000000000001</v>
      </c>
      <c r="P105" s="29">
        <f>M105+O105</f>
        <v>10000</v>
      </c>
      <c r="Q105" s="28" t="s">
        <v>217</v>
      </c>
      <c r="R105" s="29"/>
      <c r="S105" s="29">
        <f>P105+R105</f>
        <v>10000</v>
      </c>
      <c r="T105" s="29">
        <f>277.7-500.1</f>
        <v>-222.40000000000003</v>
      </c>
      <c r="U105" s="29">
        <f t="shared" si="21"/>
        <v>9777.6</v>
      </c>
      <c r="V105" s="28" t="s">
        <v>401</v>
      </c>
      <c r="W105" s="104">
        <v>602.5</v>
      </c>
      <c r="X105" s="29">
        <f t="shared" si="16"/>
        <v>10380.1</v>
      </c>
      <c r="Y105" s="91" t="s">
        <v>422</v>
      </c>
    </row>
    <row r="106" spans="1:25" s="121" customFormat="1" ht="42" customHeight="1" collapsed="1" x14ac:dyDescent="0.2">
      <c r="A106" s="114"/>
      <c r="B106" s="158" t="s">
        <v>128</v>
      </c>
      <c r="C106" s="159"/>
      <c r="D106" s="159"/>
      <c r="E106" s="159"/>
      <c r="F106" s="159"/>
      <c r="G106" s="159"/>
      <c r="H106" s="115" t="s">
        <v>20</v>
      </c>
      <c r="I106" s="115" t="s">
        <v>3</v>
      </c>
      <c r="J106" s="115" t="s">
        <v>3</v>
      </c>
      <c r="K106" s="116">
        <f>SUM(K107:K108)</f>
        <v>2500</v>
      </c>
      <c r="L106" s="116">
        <f t="shared" ref="L106:O106" si="25">SUM(L108)</f>
        <v>0</v>
      </c>
      <c r="M106" s="116">
        <f>SUM(M107:M108)</f>
        <v>2500</v>
      </c>
      <c r="N106" s="117"/>
      <c r="O106" s="116">
        <f t="shared" si="25"/>
        <v>0</v>
      </c>
      <c r="P106" s="116">
        <f>SUM(P107:P108)</f>
        <v>2700</v>
      </c>
      <c r="Q106" s="117" t="s">
        <v>210</v>
      </c>
      <c r="R106" s="116">
        <f>SUM(R107:R108)</f>
        <v>-225.3</v>
      </c>
      <c r="S106" s="116">
        <f>SUM(S107:S108)</f>
        <v>2474.6999999999998</v>
      </c>
      <c r="T106" s="116">
        <f>SUM(T107,T108)</f>
        <v>-277.70000000000005</v>
      </c>
      <c r="U106" s="116">
        <f t="shared" si="21"/>
        <v>2197</v>
      </c>
      <c r="V106" s="118" t="s">
        <v>404</v>
      </c>
      <c r="W106" s="119">
        <f>SUM(W107:W108)</f>
        <v>0</v>
      </c>
      <c r="X106" s="116">
        <f t="shared" si="16"/>
        <v>2197</v>
      </c>
      <c r="Y106" s="120"/>
    </row>
    <row r="107" spans="1:25" ht="37.5" hidden="1" customHeight="1" outlineLevel="1" x14ac:dyDescent="0.2">
      <c r="A107" s="13"/>
      <c r="B107" s="92"/>
      <c r="C107" s="88"/>
      <c r="D107" s="154" t="s">
        <v>129</v>
      </c>
      <c r="E107" s="155"/>
      <c r="F107" s="155"/>
      <c r="G107" s="155"/>
      <c r="H107" s="15" t="s">
        <v>20</v>
      </c>
      <c r="I107" s="15" t="s">
        <v>1</v>
      </c>
      <c r="J107" s="15" t="s">
        <v>9</v>
      </c>
      <c r="K107" s="29">
        <v>2500</v>
      </c>
      <c r="L107" s="29"/>
      <c r="M107" s="29">
        <f t="shared" ref="M107" si="26">K107+L107</f>
        <v>2500</v>
      </c>
      <c r="N107" s="28"/>
      <c r="O107" s="29">
        <f>200</f>
        <v>200</v>
      </c>
      <c r="P107" s="29">
        <f>M107+O107</f>
        <v>2700</v>
      </c>
      <c r="Q107" s="28" t="s">
        <v>277</v>
      </c>
      <c r="R107" s="29">
        <f>-225.3-200</f>
        <v>-425.3</v>
      </c>
      <c r="S107" s="29">
        <f>P107+R107</f>
        <v>2274.6999999999998</v>
      </c>
      <c r="T107" s="29">
        <f>-112.4</f>
        <v>-112.4</v>
      </c>
      <c r="U107" s="29">
        <f t="shared" si="21"/>
        <v>2162.2999999999997</v>
      </c>
      <c r="V107" s="109" t="s">
        <v>399</v>
      </c>
      <c r="W107" s="104"/>
      <c r="X107" s="29">
        <f t="shared" si="16"/>
        <v>2162.2999999999997</v>
      </c>
      <c r="Y107" s="100"/>
    </row>
    <row r="108" spans="1:25" ht="37.5" hidden="1" customHeight="1" outlineLevel="1" x14ac:dyDescent="0.2">
      <c r="A108" s="13"/>
      <c r="B108" s="92"/>
      <c r="C108" s="88"/>
      <c r="D108" s="154" t="s">
        <v>129</v>
      </c>
      <c r="E108" s="155"/>
      <c r="F108" s="155"/>
      <c r="G108" s="155"/>
      <c r="H108" s="15" t="s">
        <v>20</v>
      </c>
      <c r="I108" s="15" t="s">
        <v>1</v>
      </c>
      <c r="J108" s="27" t="s">
        <v>8</v>
      </c>
      <c r="K108" s="29">
        <v>0</v>
      </c>
      <c r="L108" s="29"/>
      <c r="M108" s="29">
        <f>K108+L108</f>
        <v>0</v>
      </c>
      <c r="N108" s="28"/>
      <c r="O108" s="29"/>
      <c r="P108" s="29">
        <f>M108+O108</f>
        <v>0</v>
      </c>
      <c r="Q108" s="28" t="s">
        <v>277</v>
      </c>
      <c r="R108" s="29">
        <v>200</v>
      </c>
      <c r="S108" s="29">
        <f>P108+R108</f>
        <v>200</v>
      </c>
      <c r="T108" s="29">
        <f>-165.3</f>
        <v>-165.3</v>
      </c>
      <c r="U108" s="29">
        <f t="shared" si="21"/>
        <v>34.699999999999989</v>
      </c>
      <c r="V108" s="109" t="s">
        <v>398</v>
      </c>
      <c r="W108" s="104"/>
      <c r="X108" s="29">
        <f t="shared" si="16"/>
        <v>34.699999999999989</v>
      </c>
      <c r="Y108" s="100"/>
    </row>
    <row r="109" spans="1:25" s="121" customFormat="1" ht="40.5" customHeight="1" collapsed="1" x14ac:dyDescent="0.2">
      <c r="A109" s="114"/>
      <c r="B109" s="158" t="s">
        <v>130</v>
      </c>
      <c r="C109" s="159"/>
      <c r="D109" s="159"/>
      <c r="E109" s="159"/>
      <c r="F109" s="159"/>
      <c r="G109" s="159"/>
      <c r="H109" s="115" t="s">
        <v>19</v>
      </c>
      <c r="I109" s="115" t="s">
        <v>3</v>
      </c>
      <c r="J109" s="115" t="s">
        <v>3</v>
      </c>
      <c r="K109" s="116">
        <f>K110+K115</f>
        <v>1467.1</v>
      </c>
      <c r="L109" s="116">
        <f>L110+L115</f>
        <v>1400</v>
      </c>
      <c r="M109" s="116">
        <f>M110+M115</f>
        <v>2867.1</v>
      </c>
      <c r="N109" s="117"/>
      <c r="O109" s="116">
        <f>O110+O115</f>
        <v>380</v>
      </c>
      <c r="P109" s="116">
        <f>P110+P115</f>
        <v>3247.1</v>
      </c>
      <c r="Q109" s="117"/>
      <c r="R109" s="116">
        <f>R110+R115</f>
        <v>670</v>
      </c>
      <c r="S109" s="116">
        <f>S110+S115</f>
        <v>3917.1</v>
      </c>
      <c r="T109" s="116"/>
      <c r="U109" s="116">
        <f t="shared" si="21"/>
        <v>3917.1</v>
      </c>
      <c r="V109" s="118"/>
      <c r="W109" s="119">
        <f>SUM(W110,W115)</f>
        <v>0</v>
      </c>
      <c r="X109" s="116">
        <f t="shared" si="16"/>
        <v>3917.1</v>
      </c>
      <c r="Y109" s="120"/>
    </row>
    <row r="110" spans="1:25" s="139" customFormat="1" ht="25.5" customHeight="1" x14ac:dyDescent="0.2">
      <c r="A110" s="132"/>
      <c r="B110" s="133"/>
      <c r="C110" s="157" t="s">
        <v>131</v>
      </c>
      <c r="D110" s="156"/>
      <c r="E110" s="156"/>
      <c r="F110" s="156"/>
      <c r="G110" s="156"/>
      <c r="H110" s="134" t="s">
        <v>19</v>
      </c>
      <c r="I110" s="134" t="s">
        <v>12</v>
      </c>
      <c r="J110" s="134" t="s">
        <v>3</v>
      </c>
      <c r="K110" s="135">
        <f>SUM(K111:K114)</f>
        <v>1167.0999999999999</v>
      </c>
      <c r="L110" s="135">
        <f>SUM(L111:L114)</f>
        <v>1400</v>
      </c>
      <c r="M110" s="135">
        <f>SUM(M111:M114)</f>
        <v>2567.1</v>
      </c>
      <c r="N110" s="136" t="s">
        <v>192</v>
      </c>
      <c r="O110" s="135">
        <f>SUM(O111:O114)</f>
        <v>245</v>
      </c>
      <c r="P110" s="135">
        <f>SUM(P111:P114)</f>
        <v>2812.1</v>
      </c>
      <c r="Q110" s="136" t="s">
        <v>232</v>
      </c>
      <c r="R110" s="135">
        <f>SUM(R111:R114)</f>
        <v>670</v>
      </c>
      <c r="S110" s="135">
        <f>SUM(S111:S114)</f>
        <v>3482.1</v>
      </c>
      <c r="T110" s="135"/>
      <c r="U110" s="135">
        <f t="shared" si="21"/>
        <v>3482.1</v>
      </c>
      <c r="V110" s="136"/>
      <c r="W110" s="137">
        <f>SUM(W111:W114)</f>
        <v>0</v>
      </c>
      <c r="X110" s="135">
        <f t="shared" si="16"/>
        <v>3482.1</v>
      </c>
      <c r="Y110" s="138"/>
    </row>
    <row r="111" spans="1:25" ht="12.75" hidden="1" customHeight="1" outlineLevel="1" x14ac:dyDescent="0.2">
      <c r="A111" s="13"/>
      <c r="B111" s="92"/>
      <c r="C111" s="88"/>
      <c r="D111" s="154" t="s">
        <v>132</v>
      </c>
      <c r="E111" s="155"/>
      <c r="F111" s="155"/>
      <c r="G111" s="155"/>
      <c r="H111" s="15" t="s">
        <v>19</v>
      </c>
      <c r="I111" s="15" t="s">
        <v>12</v>
      </c>
      <c r="J111" s="15" t="s">
        <v>9</v>
      </c>
      <c r="K111" s="29">
        <v>49.6</v>
      </c>
      <c r="L111" s="29"/>
      <c r="M111" s="29">
        <f t="shared" si="22"/>
        <v>49.6</v>
      </c>
      <c r="N111" s="28"/>
      <c r="O111" s="29"/>
      <c r="P111" s="29">
        <f>M111+O111</f>
        <v>49.6</v>
      </c>
      <c r="Q111" s="28"/>
      <c r="R111" s="29"/>
      <c r="S111" s="29">
        <f>P111+R111</f>
        <v>49.6</v>
      </c>
      <c r="T111" s="29"/>
      <c r="U111" s="29">
        <f t="shared" si="21"/>
        <v>49.6</v>
      </c>
      <c r="V111" s="28"/>
      <c r="W111" s="104"/>
      <c r="X111" s="29">
        <f t="shared" si="16"/>
        <v>49.6</v>
      </c>
      <c r="Y111" s="91"/>
    </row>
    <row r="112" spans="1:25" ht="34.5" hidden="1" customHeight="1" outlineLevel="1" x14ac:dyDescent="0.2">
      <c r="A112" s="13"/>
      <c r="B112" s="92"/>
      <c r="C112" s="88"/>
      <c r="D112" s="154" t="s">
        <v>133</v>
      </c>
      <c r="E112" s="155"/>
      <c r="F112" s="155"/>
      <c r="G112" s="155"/>
      <c r="H112" s="15" t="s">
        <v>19</v>
      </c>
      <c r="I112" s="15" t="s">
        <v>12</v>
      </c>
      <c r="J112" s="15" t="s">
        <v>8</v>
      </c>
      <c r="K112" s="29">
        <v>893.5</v>
      </c>
      <c r="L112" s="29">
        <v>1400</v>
      </c>
      <c r="M112" s="29">
        <f t="shared" si="22"/>
        <v>2293.5</v>
      </c>
      <c r="N112" s="22" t="s">
        <v>182</v>
      </c>
      <c r="O112" s="29">
        <f>15.2+450+3.8</f>
        <v>469</v>
      </c>
      <c r="P112" s="29">
        <f>M112+O112</f>
        <v>2762.5</v>
      </c>
      <c r="Q112" s="28" t="s">
        <v>233</v>
      </c>
      <c r="R112" s="29">
        <v>670</v>
      </c>
      <c r="S112" s="29">
        <f>P112+R112</f>
        <v>3432.5</v>
      </c>
      <c r="T112" s="29"/>
      <c r="U112" s="29">
        <f t="shared" si="21"/>
        <v>3432.5</v>
      </c>
      <c r="V112" s="28"/>
      <c r="W112" s="104"/>
      <c r="X112" s="29">
        <f t="shared" si="16"/>
        <v>3432.5</v>
      </c>
      <c r="Y112" s="91"/>
    </row>
    <row r="113" spans="1:25" ht="33.75" hidden="1" customHeight="1" outlineLevel="1" x14ac:dyDescent="0.2">
      <c r="A113" s="13"/>
      <c r="B113" s="92"/>
      <c r="C113" s="88"/>
      <c r="D113" s="154" t="s">
        <v>134</v>
      </c>
      <c r="E113" s="155"/>
      <c r="F113" s="155"/>
      <c r="G113" s="155"/>
      <c r="H113" s="15" t="s">
        <v>19</v>
      </c>
      <c r="I113" s="15" t="s">
        <v>12</v>
      </c>
      <c r="J113" s="15" t="s">
        <v>16</v>
      </c>
      <c r="K113" s="29">
        <v>24</v>
      </c>
      <c r="L113" s="29"/>
      <c r="M113" s="29">
        <f>K113+L113</f>
        <v>24</v>
      </c>
      <c r="N113" s="28"/>
      <c r="O113" s="29">
        <f>-19.2-3.8-1</f>
        <v>-24</v>
      </c>
      <c r="P113" s="29">
        <f>M113+O113</f>
        <v>0</v>
      </c>
      <c r="Q113" s="28" t="s">
        <v>234</v>
      </c>
      <c r="R113" s="29"/>
      <c r="S113" s="29">
        <f>P113+R113</f>
        <v>0</v>
      </c>
      <c r="T113" s="29"/>
      <c r="U113" s="29">
        <f t="shared" si="21"/>
        <v>0</v>
      </c>
      <c r="V113" s="28"/>
      <c r="W113" s="104"/>
      <c r="X113" s="29">
        <f t="shared" si="16"/>
        <v>0</v>
      </c>
      <c r="Y113" s="91"/>
    </row>
    <row r="114" spans="1:25" ht="25.5" hidden="1" customHeight="1" outlineLevel="1" x14ac:dyDescent="0.2">
      <c r="A114" s="13"/>
      <c r="B114" s="92"/>
      <c r="C114" s="88"/>
      <c r="D114" s="154" t="s">
        <v>135</v>
      </c>
      <c r="E114" s="155"/>
      <c r="F114" s="155"/>
      <c r="G114" s="155"/>
      <c r="H114" s="15" t="s">
        <v>19</v>
      </c>
      <c r="I114" s="15" t="s">
        <v>12</v>
      </c>
      <c r="J114" s="15" t="s">
        <v>7</v>
      </c>
      <c r="K114" s="29">
        <v>200</v>
      </c>
      <c r="L114" s="29"/>
      <c r="M114" s="29">
        <f t="shared" ref="M114:M123" si="27">K114+L114</f>
        <v>200</v>
      </c>
      <c r="N114" s="28"/>
      <c r="O114" s="29">
        <f>-200</f>
        <v>-200</v>
      </c>
      <c r="P114" s="29">
        <f>M114+O114</f>
        <v>0</v>
      </c>
      <c r="Q114" s="28" t="s">
        <v>276</v>
      </c>
      <c r="R114" s="29"/>
      <c r="S114" s="29">
        <f>P114+R114</f>
        <v>0</v>
      </c>
      <c r="T114" s="29"/>
      <c r="U114" s="29">
        <f t="shared" si="21"/>
        <v>0</v>
      </c>
      <c r="V114" s="28"/>
      <c r="W114" s="104"/>
      <c r="X114" s="29">
        <f t="shared" si="16"/>
        <v>0</v>
      </c>
      <c r="Y114" s="91"/>
    </row>
    <row r="115" spans="1:25" s="139" customFormat="1" ht="30" customHeight="1" collapsed="1" x14ac:dyDescent="0.2">
      <c r="A115" s="132"/>
      <c r="B115" s="133"/>
      <c r="C115" s="157" t="s">
        <v>136</v>
      </c>
      <c r="D115" s="156"/>
      <c r="E115" s="156"/>
      <c r="F115" s="156"/>
      <c r="G115" s="156"/>
      <c r="H115" s="134" t="s">
        <v>19</v>
      </c>
      <c r="I115" s="134" t="s">
        <v>10</v>
      </c>
      <c r="J115" s="134" t="s">
        <v>3</v>
      </c>
      <c r="K115" s="135">
        <f>SUM(K116)</f>
        <v>300</v>
      </c>
      <c r="L115" s="135">
        <f>SUM(L116)</f>
        <v>0</v>
      </c>
      <c r="M115" s="135">
        <f>SUM(M116)</f>
        <v>300</v>
      </c>
      <c r="N115" s="136"/>
      <c r="O115" s="135">
        <f>SUM(O116)</f>
        <v>135</v>
      </c>
      <c r="P115" s="135">
        <f>SUM(P116)</f>
        <v>435</v>
      </c>
      <c r="Q115" s="136" t="s">
        <v>274</v>
      </c>
      <c r="R115" s="135">
        <f>SUM(R116)</f>
        <v>0</v>
      </c>
      <c r="S115" s="135">
        <f>SUM(S116)</f>
        <v>435</v>
      </c>
      <c r="T115" s="135"/>
      <c r="U115" s="135">
        <f t="shared" si="21"/>
        <v>435</v>
      </c>
      <c r="V115" s="136"/>
      <c r="W115" s="137">
        <f>SUM(W116)</f>
        <v>0</v>
      </c>
      <c r="X115" s="135">
        <f t="shared" si="16"/>
        <v>435</v>
      </c>
      <c r="Y115" s="138"/>
    </row>
    <row r="116" spans="1:25" ht="33" hidden="1" customHeight="1" outlineLevel="1" x14ac:dyDescent="0.2">
      <c r="A116" s="13"/>
      <c r="B116" s="92"/>
      <c r="C116" s="88"/>
      <c r="D116" s="154" t="s">
        <v>137</v>
      </c>
      <c r="E116" s="155"/>
      <c r="F116" s="155"/>
      <c r="G116" s="155"/>
      <c r="H116" s="15" t="s">
        <v>19</v>
      </c>
      <c r="I116" s="15" t="s">
        <v>10</v>
      </c>
      <c r="J116" s="15" t="s">
        <v>9</v>
      </c>
      <c r="K116" s="29">
        <v>300</v>
      </c>
      <c r="L116" s="29"/>
      <c r="M116" s="29">
        <f>K116+L116</f>
        <v>300</v>
      </c>
      <c r="N116" s="28"/>
      <c r="O116" s="29">
        <f>225-90</f>
        <v>135</v>
      </c>
      <c r="P116" s="29">
        <f>M116+O116</f>
        <v>435</v>
      </c>
      <c r="Q116" s="28" t="s">
        <v>273</v>
      </c>
      <c r="R116" s="29"/>
      <c r="S116" s="29">
        <f>P116+R116</f>
        <v>435</v>
      </c>
      <c r="T116" s="29"/>
      <c r="U116" s="29">
        <f t="shared" si="21"/>
        <v>435</v>
      </c>
      <c r="V116" s="28"/>
      <c r="W116" s="104"/>
      <c r="X116" s="29">
        <f t="shared" si="16"/>
        <v>435</v>
      </c>
      <c r="Y116" s="91"/>
    </row>
    <row r="117" spans="1:25" s="121" customFormat="1" ht="32.25" customHeight="1" collapsed="1" x14ac:dyDescent="0.2">
      <c r="A117" s="114"/>
      <c r="B117" s="158" t="s">
        <v>138</v>
      </c>
      <c r="C117" s="159"/>
      <c r="D117" s="159"/>
      <c r="E117" s="159"/>
      <c r="F117" s="159"/>
      <c r="G117" s="159"/>
      <c r="H117" s="115" t="s">
        <v>18</v>
      </c>
      <c r="I117" s="115" t="s">
        <v>3</v>
      </c>
      <c r="J117" s="115" t="s">
        <v>3</v>
      </c>
      <c r="K117" s="116">
        <f>SUM(K118)</f>
        <v>813.4</v>
      </c>
      <c r="L117" s="116">
        <f t="shared" ref="L117:S117" si="28">SUM(L118)</f>
        <v>0</v>
      </c>
      <c r="M117" s="116">
        <f t="shared" si="28"/>
        <v>813.4</v>
      </c>
      <c r="N117" s="117"/>
      <c r="O117" s="116">
        <f t="shared" si="28"/>
        <v>-70</v>
      </c>
      <c r="P117" s="116">
        <f t="shared" si="28"/>
        <v>743.4</v>
      </c>
      <c r="Q117" s="117" t="s">
        <v>241</v>
      </c>
      <c r="R117" s="116">
        <f t="shared" si="28"/>
        <v>0</v>
      </c>
      <c r="S117" s="116">
        <f t="shared" si="28"/>
        <v>743.4</v>
      </c>
      <c r="T117" s="116"/>
      <c r="U117" s="116">
        <f>SUM(S117+T117)</f>
        <v>743.4</v>
      </c>
      <c r="V117" s="118"/>
      <c r="W117" s="119">
        <f>SUM(W118)</f>
        <v>0</v>
      </c>
      <c r="X117" s="116">
        <f t="shared" si="16"/>
        <v>743.4</v>
      </c>
      <c r="Y117" s="120"/>
    </row>
    <row r="118" spans="1:25" ht="35.25" hidden="1" customHeight="1" outlineLevel="1" x14ac:dyDescent="0.2">
      <c r="A118" s="13"/>
      <c r="B118" s="92"/>
      <c r="C118" s="88"/>
      <c r="D118" s="154" t="s">
        <v>139</v>
      </c>
      <c r="E118" s="155"/>
      <c r="F118" s="155"/>
      <c r="G118" s="155"/>
      <c r="H118" s="15" t="s">
        <v>18</v>
      </c>
      <c r="I118" s="15" t="s">
        <v>1</v>
      </c>
      <c r="J118" s="15" t="s">
        <v>9</v>
      </c>
      <c r="K118" s="29">
        <v>813.4</v>
      </c>
      <c r="L118" s="29"/>
      <c r="M118" s="29">
        <f t="shared" si="27"/>
        <v>813.4</v>
      </c>
      <c r="N118" s="28"/>
      <c r="O118" s="29">
        <v>-70</v>
      </c>
      <c r="P118" s="29">
        <f>M118+O118</f>
        <v>743.4</v>
      </c>
      <c r="Q118" s="28" t="s">
        <v>241</v>
      </c>
      <c r="R118" s="29"/>
      <c r="S118" s="29">
        <f>P118+R118</f>
        <v>743.4</v>
      </c>
      <c r="T118" s="29"/>
      <c r="U118" s="29">
        <f>SUM(S118+T118)</f>
        <v>743.4</v>
      </c>
      <c r="V118" s="28"/>
      <c r="W118" s="104"/>
      <c r="X118" s="29">
        <f t="shared" si="16"/>
        <v>743.4</v>
      </c>
      <c r="Y118" s="91"/>
    </row>
    <row r="119" spans="1:25" s="121" customFormat="1" ht="31.5" customHeight="1" collapsed="1" x14ac:dyDescent="0.2">
      <c r="A119" s="114"/>
      <c r="B119" s="158" t="s">
        <v>140</v>
      </c>
      <c r="C119" s="159"/>
      <c r="D119" s="159"/>
      <c r="E119" s="159"/>
      <c r="F119" s="159"/>
      <c r="G119" s="159"/>
      <c r="H119" s="115" t="s">
        <v>17</v>
      </c>
      <c r="I119" s="115" t="s">
        <v>3</v>
      </c>
      <c r="J119" s="115" t="s">
        <v>3</v>
      </c>
      <c r="K119" s="116">
        <f>K120+K124+K127</f>
        <v>2045367.4999999998</v>
      </c>
      <c r="L119" s="116">
        <f>L120+L124+L127</f>
        <v>9410</v>
      </c>
      <c r="M119" s="116">
        <f>M120+M124+M127</f>
        <v>2054777.4999999998</v>
      </c>
      <c r="N119" s="117"/>
      <c r="O119" s="116">
        <f>O120+O124+O127</f>
        <v>60117.500000000015</v>
      </c>
      <c r="P119" s="116">
        <f>P120+P124+P127</f>
        <v>2114895.0999999996</v>
      </c>
      <c r="Q119" s="117"/>
      <c r="R119" s="116">
        <f>R120+R124+R127+R131</f>
        <v>114465.8</v>
      </c>
      <c r="S119" s="116">
        <f>S120+S124+S127+S131</f>
        <v>2229360.8999999994</v>
      </c>
      <c r="T119" s="116">
        <f>T120+T124</f>
        <v>0</v>
      </c>
      <c r="U119" s="116">
        <f>SUM(S119+T119)</f>
        <v>2229360.8999999994</v>
      </c>
      <c r="V119" s="118"/>
      <c r="W119" s="119">
        <f>SUM(W120,W124,W127,W131)</f>
        <v>-18288.399999999998</v>
      </c>
      <c r="X119" s="116">
        <f t="shared" si="16"/>
        <v>2211072.4999999995</v>
      </c>
      <c r="Y119" s="120"/>
    </row>
    <row r="120" spans="1:25" s="139" customFormat="1" ht="228" customHeight="1" x14ac:dyDescent="0.2">
      <c r="A120" s="132"/>
      <c r="B120" s="133"/>
      <c r="C120" s="162" t="s">
        <v>141</v>
      </c>
      <c r="D120" s="163"/>
      <c r="E120" s="163"/>
      <c r="F120" s="163"/>
      <c r="G120" s="164"/>
      <c r="H120" s="149" t="s">
        <v>17</v>
      </c>
      <c r="I120" s="149" t="s">
        <v>12</v>
      </c>
      <c r="J120" s="149" t="s">
        <v>3</v>
      </c>
      <c r="K120" s="150">
        <f>SUM(K121:K123)</f>
        <v>1950558.0999999999</v>
      </c>
      <c r="L120" s="151">
        <f>SUM(L121:L123)</f>
        <v>8402.9</v>
      </c>
      <c r="M120" s="150">
        <f>SUM(M121:M123)</f>
        <v>1958960.9999999998</v>
      </c>
      <c r="N120" s="152" t="s">
        <v>199</v>
      </c>
      <c r="O120" s="151">
        <f>SUM(O121:O123)</f>
        <v>46696.400000000009</v>
      </c>
      <c r="P120" s="150">
        <f>SUM(P121:P123)</f>
        <v>2005657.4999999998</v>
      </c>
      <c r="Q120" s="152" t="s">
        <v>282</v>
      </c>
      <c r="R120" s="150">
        <f>SUM(R121:R123)</f>
        <v>85130.7</v>
      </c>
      <c r="S120" s="150">
        <f>SUM(S121:S123)</f>
        <v>2090788.1999999997</v>
      </c>
      <c r="T120" s="150">
        <f>T121+T122+T123</f>
        <v>-750</v>
      </c>
      <c r="U120" s="150">
        <f>S120+T120</f>
        <v>2090038.1999999997</v>
      </c>
      <c r="V120" s="136" t="s">
        <v>406</v>
      </c>
      <c r="W120" s="153">
        <f>SUM(W121:W123)</f>
        <v>-18839.999999999996</v>
      </c>
      <c r="X120" s="150">
        <f t="shared" si="16"/>
        <v>2071198.1999999997</v>
      </c>
      <c r="Y120" s="138" t="s">
        <v>440</v>
      </c>
    </row>
    <row r="121" spans="1:25" ht="36.75" hidden="1" customHeight="1" outlineLevel="1" x14ac:dyDescent="0.2">
      <c r="A121" s="13"/>
      <c r="B121" s="92"/>
      <c r="C121" s="88"/>
      <c r="D121" s="155" t="s">
        <v>294</v>
      </c>
      <c r="E121" s="155"/>
      <c r="F121" s="155"/>
      <c r="G121" s="155"/>
      <c r="H121" s="15" t="s">
        <v>17</v>
      </c>
      <c r="I121" s="15" t="s">
        <v>12</v>
      </c>
      <c r="J121" s="15" t="s">
        <v>9</v>
      </c>
      <c r="K121" s="29">
        <v>37302.9</v>
      </c>
      <c r="L121" s="29"/>
      <c r="M121" s="29">
        <f t="shared" si="27"/>
        <v>37302.9</v>
      </c>
      <c r="N121" s="28"/>
      <c r="O121" s="29">
        <f>-403.7+60.6-1000</f>
        <v>-1343.1</v>
      </c>
      <c r="P121" s="29">
        <f>M121+O121</f>
        <v>35959.800000000003</v>
      </c>
      <c r="Q121" s="28" t="s">
        <v>280</v>
      </c>
      <c r="R121" s="29">
        <f>300.4-4059.5-200-250</f>
        <v>-4209.1000000000004</v>
      </c>
      <c r="S121" s="29">
        <f>P121+R121</f>
        <v>31750.700000000004</v>
      </c>
      <c r="T121" s="29"/>
      <c r="U121" s="29">
        <f t="shared" ref="U121:U123" si="29">S121+T121</f>
        <v>31750.700000000004</v>
      </c>
      <c r="V121" s="28"/>
      <c r="W121" s="104">
        <v>-110.8</v>
      </c>
      <c r="X121" s="29">
        <f t="shared" si="16"/>
        <v>31639.900000000005</v>
      </c>
      <c r="Y121" s="91" t="s">
        <v>437</v>
      </c>
    </row>
    <row r="122" spans="1:25" ht="228.75" hidden="1" customHeight="1" outlineLevel="1" x14ac:dyDescent="0.2">
      <c r="A122" s="13"/>
      <c r="B122" s="92"/>
      <c r="C122" s="88"/>
      <c r="D122" s="154" t="s">
        <v>142</v>
      </c>
      <c r="E122" s="155"/>
      <c r="F122" s="155"/>
      <c r="G122" s="155"/>
      <c r="H122" s="15" t="s">
        <v>17</v>
      </c>
      <c r="I122" s="15" t="s">
        <v>12</v>
      </c>
      <c r="J122" s="15" t="s">
        <v>8</v>
      </c>
      <c r="K122" s="29">
        <v>1740290.9</v>
      </c>
      <c r="L122" s="29">
        <f>1965.5+6437.4</f>
        <v>8402.9</v>
      </c>
      <c r="M122" s="29">
        <f t="shared" si="27"/>
        <v>1748693.7999999998</v>
      </c>
      <c r="N122" s="28" t="s">
        <v>198</v>
      </c>
      <c r="O122" s="29">
        <f>-20+(-2.5)+344.2+1229.2+37106.8+155+6175-51+350-768.2+737-150</f>
        <v>45105.500000000007</v>
      </c>
      <c r="P122" s="29">
        <f>M122+O122-40.5</f>
        <v>1793758.7999999998</v>
      </c>
      <c r="Q122" s="28" t="s">
        <v>304</v>
      </c>
      <c r="R122" s="29">
        <f>250-111.9-656-340+14737.2+68691.2+48.8+1115.9+4202.4+1273.6+1157.3+2</f>
        <v>90370.5</v>
      </c>
      <c r="S122" s="29">
        <f>P122+R122</f>
        <v>1884129.2999999998</v>
      </c>
      <c r="T122" s="29">
        <v>-750</v>
      </c>
      <c r="U122" s="29">
        <f t="shared" si="29"/>
        <v>1883379.2999999998</v>
      </c>
      <c r="V122" s="28" t="s">
        <v>391</v>
      </c>
      <c r="W122" s="104">
        <f>-16443.1-1286.1</f>
        <v>-17729.199999999997</v>
      </c>
      <c r="X122" s="29">
        <f t="shared" si="16"/>
        <v>1865650.0999999999</v>
      </c>
      <c r="Y122" s="91" t="s">
        <v>429</v>
      </c>
    </row>
    <row r="123" spans="1:25" ht="59.25" hidden="1" customHeight="1" outlineLevel="1" x14ac:dyDescent="0.2">
      <c r="A123" s="13"/>
      <c r="B123" s="92"/>
      <c r="C123" s="88"/>
      <c r="D123" s="155" t="s">
        <v>293</v>
      </c>
      <c r="E123" s="155"/>
      <c r="F123" s="155"/>
      <c r="G123" s="155"/>
      <c r="H123" s="15" t="s">
        <v>17</v>
      </c>
      <c r="I123" s="15" t="s">
        <v>12</v>
      </c>
      <c r="J123" s="15" t="s">
        <v>16</v>
      </c>
      <c r="K123" s="29">
        <v>172964.3</v>
      </c>
      <c r="L123" s="29"/>
      <c r="M123" s="29">
        <f t="shared" si="27"/>
        <v>172964.3</v>
      </c>
      <c r="N123" s="28"/>
      <c r="O123" s="29">
        <v>2934</v>
      </c>
      <c r="P123" s="29">
        <f>M123+O123+40.6</f>
        <v>175938.9</v>
      </c>
      <c r="Q123" s="28" t="s">
        <v>283</v>
      </c>
      <c r="R123" s="29">
        <f>-597.3-233.5+0.1-200</f>
        <v>-1030.6999999999998</v>
      </c>
      <c r="S123" s="29">
        <f>P123+R123</f>
        <v>174908.19999999998</v>
      </c>
      <c r="T123" s="29"/>
      <c r="U123" s="29">
        <f t="shared" si="29"/>
        <v>174908.19999999998</v>
      </c>
      <c r="V123" s="28"/>
      <c r="W123" s="104">
        <v>-1000</v>
      </c>
      <c r="X123" s="29">
        <f t="shared" si="16"/>
        <v>173908.19999999998</v>
      </c>
      <c r="Y123" s="100" t="s">
        <v>430</v>
      </c>
    </row>
    <row r="124" spans="1:25" s="139" customFormat="1" ht="39" customHeight="1" collapsed="1" x14ac:dyDescent="0.2">
      <c r="A124" s="132"/>
      <c r="B124" s="133"/>
      <c r="C124" s="157" t="s">
        <v>143</v>
      </c>
      <c r="D124" s="156"/>
      <c r="E124" s="156"/>
      <c r="F124" s="156"/>
      <c r="G124" s="156"/>
      <c r="H124" s="134" t="s">
        <v>17</v>
      </c>
      <c r="I124" s="134" t="s">
        <v>10</v>
      </c>
      <c r="J124" s="134" t="s">
        <v>3</v>
      </c>
      <c r="K124" s="135">
        <f>SUM(K125:K126)</f>
        <v>11094</v>
      </c>
      <c r="L124" s="135">
        <f>SUM(L125:L126)</f>
        <v>1007.1</v>
      </c>
      <c r="M124" s="135">
        <f>SUM(M125:M126)</f>
        <v>12101.1</v>
      </c>
      <c r="N124" s="136" t="s">
        <v>195</v>
      </c>
      <c r="O124" s="135">
        <f>SUM(O125:O126)</f>
        <v>-7130.1</v>
      </c>
      <c r="P124" s="135">
        <f>SUM(P125:P126)</f>
        <v>4971</v>
      </c>
      <c r="Q124" s="136" t="s">
        <v>263</v>
      </c>
      <c r="R124" s="135">
        <f>SUM(R125:R126)</f>
        <v>0</v>
      </c>
      <c r="S124" s="135">
        <f>SUM(S125:S126)</f>
        <v>4971</v>
      </c>
      <c r="T124" s="135">
        <f>T125+T126</f>
        <v>750</v>
      </c>
      <c r="U124" s="135">
        <f>S124+T124</f>
        <v>5721</v>
      </c>
      <c r="V124" s="136" t="s">
        <v>407</v>
      </c>
      <c r="W124" s="137">
        <f>SUM(W125:W126)</f>
        <v>339.8</v>
      </c>
      <c r="X124" s="135">
        <f t="shared" si="16"/>
        <v>6060.8</v>
      </c>
      <c r="Y124" s="138" t="s">
        <v>441</v>
      </c>
    </row>
    <row r="125" spans="1:25" ht="50.25" hidden="1" customHeight="1" outlineLevel="1" x14ac:dyDescent="0.2">
      <c r="A125" s="13"/>
      <c r="B125" s="92"/>
      <c r="C125" s="88"/>
      <c r="D125" s="154" t="s">
        <v>144</v>
      </c>
      <c r="E125" s="155"/>
      <c r="F125" s="155"/>
      <c r="G125" s="155"/>
      <c r="H125" s="15" t="s">
        <v>17</v>
      </c>
      <c r="I125" s="15" t="s">
        <v>10</v>
      </c>
      <c r="J125" s="15" t="s">
        <v>9</v>
      </c>
      <c r="K125" s="29">
        <v>10094</v>
      </c>
      <c r="L125" s="29">
        <v>1007.1</v>
      </c>
      <c r="M125" s="29">
        <f t="shared" ref="M125:M137" si="30">K125+L125</f>
        <v>11101.1</v>
      </c>
      <c r="N125" s="28" t="s">
        <v>195</v>
      </c>
      <c r="O125" s="29">
        <f>20-6834.8-70.3-296</f>
        <v>-7181.1</v>
      </c>
      <c r="P125" s="29">
        <f>M125+O125</f>
        <v>3920</v>
      </c>
      <c r="Q125" s="28" t="s">
        <v>305</v>
      </c>
      <c r="R125" s="29"/>
      <c r="S125" s="29">
        <f>P125+R125</f>
        <v>3920</v>
      </c>
      <c r="T125" s="29">
        <v>750</v>
      </c>
      <c r="U125" s="29">
        <f>S125+T125</f>
        <v>4670</v>
      </c>
      <c r="V125" s="28"/>
      <c r="W125" s="104">
        <f>202.9+136.9</f>
        <v>339.8</v>
      </c>
      <c r="X125" s="29">
        <f t="shared" si="16"/>
        <v>5009.8</v>
      </c>
      <c r="Y125" s="91" t="s">
        <v>426</v>
      </c>
    </row>
    <row r="126" spans="1:25" ht="30" hidden="1" customHeight="1" outlineLevel="1" x14ac:dyDescent="0.2">
      <c r="A126" s="13"/>
      <c r="B126" s="92"/>
      <c r="C126" s="88"/>
      <c r="D126" s="154" t="s">
        <v>145</v>
      </c>
      <c r="E126" s="155"/>
      <c r="F126" s="155"/>
      <c r="G126" s="155"/>
      <c r="H126" s="15" t="s">
        <v>17</v>
      </c>
      <c r="I126" s="15" t="s">
        <v>10</v>
      </c>
      <c r="J126" s="15" t="s">
        <v>8</v>
      </c>
      <c r="K126" s="29">
        <v>1000</v>
      </c>
      <c r="L126" s="29"/>
      <c r="M126" s="29">
        <f t="shared" si="30"/>
        <v>1000</v>
      </c>
      <c r="N126" s="28"/>
      <c r="O126" s="29">
        <f>51</f>
        <v>51</v>
      </c>
      <c r="P126" s="29">
        <f>M126+O126</f>
        <v>1051</v>
      </c>
      <c r="Q126" s="28" t="s">
        <v>306</v>
      </c>
      <c r="R126" s="29"/>
      <c r="S126" s="29">
        <f>P126+R126</f>
        <v>1051</v>
      </c>
      <c r="T126" s="29"/>
      <c r="U126" s="29">
        <f>S126+T126</f>
        <v>1051</v>
      </c>
      <c r="V126" s="28"/>
      <c r="W126" s="104"/>
      <c r="X126" s="29">
        <f t="shared" si="16"/>
        <v>1051</v>
      </c>
      <c r="Y126" s="91"/>
    </row>
    <row r="127" spans="1:25" s="139" customFormat="1" ht="90" customHeight="1" collapsed="1" x14ac:dyDescent="0.2">
      <c r="A127" s="132"/>
      <c r="B127" s="133"/>
      <c r="C127" s="157" t="s">
        <v>146</v>
      </c>
      <c r="D127" s="156"/>
      <c r="E127" s="156"/>
      <c r="F127" s="156"/>
      <c r="G127" s="156"/>
      <c r="H127" s="134" t="s">
        <v>17</v>
      </c>
      <c r="I127" s="134" t="s">
        <v>13</v>
      </c>
      <c r="J127" s="134" t="s">
        <v>3</v>
      </c>
      <c r="K127" s="135">
        <f>SUM(K128:K130)</f>
        <v>83715.399999999994</v>
      </c>
      <c r="L127" s="135">
        <f>SUM(L128:L130)</f>
        <v>0</v>
      </c>
      <c r="M127" s="135">
        <f>SUM(M128:M130)</f>
        <v>83715.399999999994</v>
      </c>
      <c r="N127" s="136"/>
      <c r="O127" s="135">
        <f>SUM(O128:O130)</f>
        <v>20551.2</v>
      </c>
      <c r="P127" s="135">
        <f>SUM(P128:P130)</f>
        <v>104266.6</v>
      </c>
      <c r="Q127" s="136" t="s">
        <v>242</v>
      </c>
      <c r="R127" s="135">
        <f>SUM(R128:R130)</f>
        <v>11085.8</v>
      </c>
      <c r="S127" s="135">
        <f>SUM(S128:S130)</f>
        <v>115352.4</v>
      </c>
      <c r="T127" s="135"/>
      <c r="U127" s="135">
        <f>S127+T127</f>
        <v>115352.4</v>
      </c>
      <c r="V127" s="136"/>
      <c r="W127" s="137">
        <f>SUM(W128:W130)</f>
        <v>211.8</v>
      </c>
      <c r="X127" s="135">
        <f t="shared" si="16"/>
        <v>115564.2</v>
      </c>
      <c r="Y127" s="138" t="s">
        <v>432</v>
      </c>
    </row>
    <row r="128" spans="1:25" ht="57.75" hidden="1" customHeight="1" outlineLevel="1" x14ac:dyDescent="0.2">
      <c r="A128" s="13"/>
      <c r="B128" s="92"/>
      <c r="C128" s="88"/>
      <c r="D128" s="154" t="s">
        <v>147</v>
      </c>
      <c r="E128" s="155"/>
      <c r="F128" s="155"/>
      <c r="G128" s="155"/>
      <c r="H128" s="15" t="s">
        <v>17</v>
      </c>
      <c r="I128" s="15" t="s">
        <v>13</v>
      </c>
      <c r="J128" s="15" t="s">
        <v>9</v>
      </c>
      <c r="K128" s="29">
        <v>28941.9</v>
      </c>
      <c r="L128" s="29"/>
      <c r="M128" s="29">
        <f t="shared" si="30"/>
        <v>28941.9</v>
      </c>
      <c r="N128" s="28"/>
      <c r="O128" s="29">
        <f>15000+17</f>
        <v>15017</v>
      </c>
      <c r="P128" s="29">
        <f>M128+O128</f>
        <v>43958.9</v>
      </c>
      <c r="Q128" s="28" t="s">
        <v>231</v>
      </c>
      <c r="R128" s="29">
        <f>2500+6440</f>
        <v>8940</v>
      </c>
      <c r="S128" s="29">
        <f>P128+R128</f>
        <v>52898.9</v>
      </c>
      <c r="T128" s="29"/>
      <c r="U128" s="29">
        <f t="shared" ref="U128:U130" si="31">S128+T128</f>
        <v>52898.9</v>
      </c>
      <c r="V128" s="28"/>
      <c r="W128" s="104"/>
      <c r="X128" s="29">
        <f t="shared" si="16"/>
        <v>52898.9</v>
      </c>
      <c r="Y128" s="91"/>
    </row>
    <row r="129" spans="1:27" ht="93.75" hidden="1" customHeight="1" outlineLevel="1" x14ac:dyDescent="0.2">
      <c r="A129" s="13"/>
      <c r="B129" s="92"/>
      <c r="C129" s="88"/>
      <c r="D129" s="154" t="s">
        <v>148</v>
      </c>
      <c r="E129" s="155"/>
      <c r="F129" s="155"/>
      <c r="G129" s="155"/>
      <c r="H129" s="15" t="s">
        <v>17</v>
      </c>
      <c r="I129" s="15" t="s">
        <v>13</v>
      </c>
      <c r="J129" s="15" t="s">
        <v>8</v>
      </c>
      <c r="K129" s="29">
        <v>46773.5</v>
      </c>
      <c r="L129" s="29"/>
      <c r="M129" s="29">
        <f t="shared" si="30"/>
        <v>46773.5</v>
      </c>
      <c r="N129" s="28"/>
      <c r="O129" s="29">
        <f>70+4385.1-150+1229.1</f>
        <v>5534.2000000000007</v>
      </c>
      <c r="P129" s="29">
        <f>M129+O129</f>
        <v>52307.7</v>
      </c>
      <c r="Q129" s="28" t="s">
        <v>230</v>
      </c>
      <c r="R129" s="29">
        <f>100-30+214.2+23.8+130+1707.8</f>
        <v>2145.8000000000002</v>
      </c>
      <c r="S129" s="29">
        <f>P129+R129</f>
        <v>54453.5</v>
      </c>
      <c r="T129" s="29"/>
      <c r="U129" s="29">
        <f t="shared" si="31"/>
        <v>54453.5</v>
      </c>
      <c r="V129" s="28"/>
      <c r="W129" s="104">
        <f>350-90-48.2</f>
        <v>211.8</v>
      </c>
      <c r="X129" s="29">
        <f t="shared" si="16"/>
        <v>54665.3</v>
      </c>
      <c r="Y129" s="91" t="s">
        <v>431</v>
      </c>
    </row>
    <row r="130" spans="1:27" ht="48.75" hidden="1" customHeight="1" outlineLevel="1" x14ac:dyDescent="0.2">
      <c r="A130" s="13"/>
      <c r="B130" s="92"/>
      <c r="C130" s="88"/>
      <c r="D130" s="154" t="s">
        <v>149</v>
      </c>
      <c r="E130" s="155"/>
      <c r="F130" s="155"/>
      <c r="G130" s="155"/>
      <c r="H130" s="15" t="s">
        <v>17</v>
      </c>
      <c r="I130" s="15" t="s">
        <v>13</v>
      </c>
      <c r="J130" s="15" t="s">
        <v>16</v>
      </c>
      <c r="K130" s="29">
        <v>8000</v>
      </c>
      <c r="L130" s="29"/>
      <c r="M130" s="29">
        <f t="shared" si="30"/>
        <v>8000</v>
      </c>
      <c r="N130" s="28"/>
      <c r="O130" s="29"/>
      <c r="P130" s="29">
        <f>M130+O130</f>
        <v>8000</v>
      </c>
      <c r="Q130" s="28"/>
      <c r="R130" s="29"/>
      <c r="S130" s="29">
        <f>P130+R130</f>
        <v>8000</v>
      </c>
      <c r="T130" s="29"/>
      <c r="U130" s="29">
        <f t="shared" si="31"/>
        <v>8000</v>
      </c>
      <c r="V130" s="28"/>
      <c r="W130" s="104"/>
      <c r="X130" s="29">
        <f t="shared" si="16"/>
        <v>8000</v>
      </c>
      <c r="Y130" s="91"/>
    </row>
    <row r="131" spans="1:27" s="139" customFormat="1" ht="29.25" customHeight="1" collapsed="1" x14ac:dyDescent="0.2">
      <c r="A131" s="132"/>
      <c r="B131" s="133"/>
      <c r="C131" s="156" t="s">
        <v>307</v>
      </c>
      <c r="D131" s="156"/>
      <c r="E131" s="156"/>
      <c r="F131" s="156"/>
      <c r="G131" s="156"/>
      <c r="H131" s="134" t="s">
        <v>17</v>
      </c>
      <c r="I131" s="134">
        <v>4</v>
      </c>
      <c r="J131" s="134" t="s">
        <v>3</v>
      </c>
      <c r="K131" s="135">
        <f>K132</f>
        <v>0</v>
      </c>
      <c r="L131" s="135">
        <f t="shared" ref="L131:S131" si="32">L132</f>
        <v>0</v>
      </c>
      <c r="M131" s="135">
        <f t="shared" si="32"/>
        <v>0</v>
      </c>
      <c r="N131" s="135">
        <f t="shared" si="32"/>
        <v>0</v>
      </c>
      <c r="O131" s="135">
        <f t="shared" si="32"/>
        <v>0</v>
      </c>
      <c r="P131" s="135">
        <f t="shared" si="32"/>
        <v>0</v>
      </c>
      <c r="Q131" s="135">
        <f t="shared" si="32"/>
        <v>0</v>
      </c>
      <c r="R131" s="135">
        <f t="shared" si="32"/>
        <v>18249.3</v>
      </c>
      <c r="S131" s="135">
        <f t="shared" si="32"/>
        <v>18249.3</v>
      </c>
      <c r="T131" s="135"/>
      <c r="U131" s="135">
        <f>S131+T131</f>
        <v>18249.3</v>
      </c>
      <c r="V131" s="136"/>
      <c r="W131" s="137">
        <f>SUM(W132)</f>
        <v>0</v>
      </c>
      <c r="X131" s="135">
        <f t="shared" si="16"/>
        <v>18249.3</v>
      </c>
      <c r="Y131" s="138"/>
    </row>
    <row r="132" spans="1:27" ht="47.25" hidden="1" customHeight="1" outlineLevel="1" x14ac:dyDescent="0.2">
      <c r="A132" s="13"/>
      <c r="B132" s="92"/>
      <c r="C132" s="88"/>
      <c r="D132" s="88"/>
      <c r="E132" s="88"/>
      <c r="F132" s="88"/>
      <c r="G132" s="88" t="s">
        <v>308</v>
      </c>
      <c r="H132" s="15">
        <v>20</v>
      </c>
      <c r="I132" s="15">
        <v>4</v>
      </c>
      <c r="J132" s="15">
        <v>1</v>
      </c>
      <c r="K132" s="29"/>
      <c r="L132" s="29"/>
      <c r="M132" s="29"/>
      <c r="N132" s="28"/>
      <c r="O132" s="29"/>
      <c r="P132" s="29"/>
      <c r="Q132" s="28"/>
      <c r="R132" s="29">
        <f>1000+17249.3</f>
        <v>18249.3</v>
      </c>
      <c r="S132" s="29">
        <f>P132+R132</f>
        <v>18249.3</v>
      </c>
      <c r="T132" s="29"/>
      <c r="U132" s="29">
        <f>S132+T132</f>
        <v>18249.3</v>
      </c>
      <c r="V132" s="28"/>
      <c r="W132" s="104"/>
      <c r="X132" s="29">
        <f t="shared" si="16"/>
        <v>18249.3</v>
      </c>
      <c r="Y132" s="91"/>
    </row>
    <row r="133" spans="1:27" s="121" customFormat="1" ht="33.75" customHeight="1" collapsed="1" x14ac:dyDescent="0.2">
      <c r="A133" s="114"/>
      <c r="B133" s="158" t="s">
        <v>150</v>
      </c>
      <c r="C133" s="159"/>
      <c r="D133" s="159"/>
      <c r="E133" s="159"/>
      <c r="F133" s="159"/>
      <c r="G133" s="159"/>
      <c r="H133" s="115" t="s">
        <v>15</v>
      </c>
      <c r="I133" s="115" t="s">
        <v>3</v>
      </c>
      <c r="J133" s="115" t="s">
        <v>3</v>
      </c>
      <c r="K133" s="116">
        <f>SUM(K134)</f>
        <v>1151.0999999999999</v>
      </c>
      <c r="L133" s="116">
        <f t="shared" ref="L133:S133" si="33">SUM(L134)</f>
        <v>0</v>
      </c>
      <c r="M133" s="116">
        <f t="shared" si="33"/>
        <v>1151.0999999999999</v>
      </c>
      <c r="N133" s="117"/>
      <c r="O133" s="116">
        <f t="shared" si="33"/>
        <v>0</v>
      </c>
      <c r="P133" s="116">
        <f t="shared" si="33"/>
        <v>1151.0999999999999</v>
      </c>
      <c r="Q133" s="117"/>
      <c r="R133" s="116">
        <f t="shared" si="33"/>
        <v>5.7</v>
      </c>
      <c r="S133" s="116">
        <f t="shared" si="33"/>
        <v>1156.8</v>
      </c>
      <c r="T133" s="116"/>
      <c r="U133" s="116">
        <f>SUM(S133+T133)</f>
        <v>1156.8</v>
      </c>
      <c r="V133" s="118"/>
      <c r="W133" s="119">
        <f>SUM(W134)</f>
        <v>0</v>
      </c>
      <c r="X133" s="116">
        <f t="shared" si="16"/>
        <v>1156.8</v>
      </c>
      <c r="Y133" s="120"/>
    </row>
    <row r="134" spans="1:27" ht="28.5" hidden="1" customHeight="1" outlineLevel="1" x14ac:dyDescent="0.2">
      <c r="A134" s="13"/>
      <c r="B134" s="92"/>
      <c r="C134" s="88"/>
      <c r="D134" s="154" t="s">
        <v>151</v>
      </c>
      <c r="E134" s="155"/>
      <c r="F134" s="155"/>
      <c r="G134" s="155"/>
      <c r="H134" s="15" t="s">
        <v>15</v>
      </c>
      <c r="I134" s="15" t="s">
        <v>1</v>
      </c>
      <c r="J134" s="15" t="s">
        <v>9</v>
      </c>
      <c r="K134" s="29">
        <v>1151.0999999999999</v>
      </c>
      <c r="L134" s="29"/>
      <c r="M134" s="29">
        <f t="shared" si="30"/>
        <v>1151.0999999999999</v>
      </c>
      <c r="N134" s="28"/>
      <c r="O134" s="29"/>
      <c r="P134" s="29">
        <f>M134+O134</f>
        <v>1151.0999999999999</v>
      </c>
      <c r="Q134" s="28"/>
      <c r="R134" s="29">
        <v>5.7</v>
      </c>
      <c r="S134" s="29">
        <f>P134+R134</f>
        <v>1156.8</v>
      </c>
      <c r="T134" s="29"/>
      <c r="U134" s="29">
        <f>S134+T134</f>
        <v>1156.8</v>
      </c>
      <c r="V134" s="28"/>
      <c r="W134" s="104"/>
      <c r="X134" s="29">
        <f t="shared" si="16"/>
        <v>1156.8</v>
      </c>
      <c r="Y134" s="91"/>
    </row>
    <row r="135" spans="1:27" s="121" customFormat="1" ht="21" customHeight="1" collapsed="1" x14ac:dyDescent="0.2">
      <c r="A135" s="114"/>
      <c r="B135" s="158" t="s">
        <v>152</v>
      </c>
      <c r="C135" s="159"/>
      <c r="D135" s="159"/>
      <c r="E135" s="159"/>
      <c r="F135" s="159"/>
      <c r="G135" s="159"/>
      <c r="H135" s="115" t="s">
        <v>14</v>
      </c>
      <c r="I135" s="115" t="s">
        <v>3</v>
      </c>
      <c r="J135" s="115" t="s">
        <v>3</v>
      </c>
      <c r="K135" s="116">
        <f>SUM(K136+K139+K141)</f>
        <v>453062.6</v>
      </c>
      <c r="L135" s="116">
        <f>SUM(L136+L139+L141)</f>
        <v>-10539.599999999999</v>
      </c>
      <c r="M135" s="116">
        <f>SUM(M136+M139+M141)</f>
        <v>442523</v>
      </c>
      <c r="N135" s="117"/>
      <c r="O135" s="116">
        <f>SUM(O136+O139+O141)</f>
        <v>-1039.4999999999998</v>
      </c>
      <c r="P135" s="116">
        <f>SUM(P136+P139+P141)</f>
        <v>441483.50000000006</v>
      </c>
      <c r="Q135" s="117"/>
      <c r="R135" s="116">
        <f>SUM(R136+R139+R141)</f>
        <v>12465.7</v>
      </c>
      <c r="S135" s="116">
        <f>SUM(S136+S139+S141)</f>
        <v>453949.19999999995</v>
      </c>
      <c r="T135" s="116">
        <f>SUM(T136,T139,T141)</f>
        <v>88.2</v>
      </c>
      <c r="U135" s="116">
        <f>SUM(S135+T135)</f>
        <v>454037.39999999997</v>
      </c>
      <c r="V135" s="118"/>
      <c r="W135" s="119">
        <f>SUM(W136,W139,W141)</f>
        <v>1395.3999999999999</v>
      </c>
      <c r="X135" s="116">
        <f t="shared" si="16"/>
        <v>455432.8</v>
      </c>
      <c r="Y135" s="120"/>
    </row>
    <row r="136" spans="1:27" s="139" customFormat="1" ht="30" customHeight="1" x14ac:dyDescent="0.2">
      <c r="A136" s="132"/>
      <c r="B136" s="133"/>
      <c r="C136" s="157" t="s">
        <v>153</v>
      </c>
      <c r="D136" s="156"/>
      <c r="E136" s="156"/>
      <c r="F136" s="156"/>
      <c r="G136" s="156"/>
      <c r="H136" s="134" t="s">
        <v>14</v>
      </c>
      <c r="I136" s="134" t="s">
        <v>12</v>
      </c>
      <c r="J136" s="134" t="s">
        <v>3</v>
      </c>
      <c r="K136" s="135">
        <f>SUM(K137:K138)</f>
        <v>201335.7</v>
      </c>
      <c r="L136" s="135">
        <f>SUM(L137:L138)</f>
        <v>0</v>
      </c>
      <c r="M136" s="135">
        <f>SUM(M137:M138)</f>
        <v>201335.7</v>
      </c>
      <c r="N136" s="136"/>
      <c r="O136" s="135">
        <f>SUM(O137:O138)</f>
        <v>-476.40000000000009</v>
      </c>
      <c r="P136" s="135">
        <f>SUM(P137:P138)</f>
        <v>200859.30000000002</v>
      </c>
      <c r="Q136" s="136" t="s">
        <v>237</v>
      </c>
      <c r="R136" s="135">
        <f>SUM(R137:R138)</f>
        <v>3011.5</v>
      </c>
      <c r="S136" s="135">
        <f>SUM(S137:S138)</f>
        <v>203870.8</v>
      </c>
      <c r="T136" s="135">
        <f>SUM(T137:T138)</f>
        <v>0</v>
      </c>
      <c r="U136" s="135">
        <f>S136+T136</f>
        <v>203870.8</v>
      </c>
      <c r="V136" s="136"/>
      <c r="W136" s="137">
        <f>SUM(W137:W138)</f>
        <v>-2.5</v>
      </c>
      <c r="X136" s="135">
        <f t="shared" si="16"/>
        <v>203868.3</v>
      </c>
      <c r="Y136" s="138" t="s">
        <v>423</v>
      </c>
    </row>
    <row r="137" spans="1:27" ht="36.75" hidden="1" customHeight="1" outlineLevel="1" x14ac:dyDescent="0.2">
      <c r="A137" s="13"/>
      <c r="B137" s="92"/>
      <c r="C137" s="88"/>
      <c r="D137" s="154" t="s">
        <v>154</v>
      </c>
      <c r="E137" s="155"/>
      <c r="F137" s="155"/>
      <c r="G137" s="155"/>
      <c r="H137" s="15" t="s">
        <v>14</v>
      </c>
      <c r="I137" s="15" t="s">
        <v>12</v>
      </c>
      <c r="J137" s="15" t="s">
        <v>9</v>
      </c>
      <c r="K137" s="29">
        <v>169502.5</v>
      </c>
      <c r="L137" s="29"/>
      <c r="M137" s="29">
        <f t="shared" si="30"/>
        <v>169502.5</v>
      </c>
      <c r="N137" s="28"/>
      <c r="O137" s="29">
        <f>1056.8-600-60.6-1802.1</f>
        <v>-1405.9</v>
      </c>
      <c r="P137" s="29">
        <f>M137+O137</f>
        <v>168096.6</v>
      </c>
      <c r="Q137" s="26" t="s">
        <v>236</v>
      </c>
      <c r="R137" s="29">
        <f>3829.8-926.6-117.8+100+40</f>
        <v>2925.4</v>
      </c>
      <c r="S137" s="29">
        <f>P137+R137</f>
        <v>171022</v>
      </c>
      <c r="T137" s="29"/>
      <c r="U137" s="29">
        <f t="shared" ref="U137:U143" si="34">S137+T137</f>
        <v>171022</v>
      </c>
      <c r="V137" s="26"/>
      <c r="W137" s="104">
        <v>-2.5</v>
      </c>
      <c r="X137" s="29">
        <f t="shared" ref="X137:X155" si="35">SUM(U137+W137)</f>
        <v>171019.5</v>
      </c>
      <c r="Y137" s="95" t="s">
        <v>423</v>
      </c>
    </row>
    <row r="138" spans="1:27" ht="39" hidden="1" customHeight="1" outlineLevel="1" x14ac:dyDescent="0.2">
      <c r="A138" s="13"/>
      <c r="B138" s="92"/>
      <c r="C138" s="88"/>
      <c r="D138" s="154" t="s">
        <v>155</v>
      </c>
      <c r="E138" s="155"/>
      <c r="F138" s="155"/>
      <c r="G138" s="155"/>
      <c r="H138" s="15" t="s">
        <v>14</v>
      </c>
      <c r="I138" s="15" t="s">
        <v>12</v>
      </c>
      <c r="J138" s="15" t="s">
        <v>8</v>
      </c>
      <c r="K138" s="29">
        <v>31833.200000000001</v>
      </c>
      <c r="L138" s="29"/>
      <c r="M138" s="29">
        <f t="shared" ref="M138:M143" si="36">K138+L138</f>
        <v>31833.200000000001</v>
      </c>
      <c r="N138" s="28"/>
      <c r="O138" s="29">
        <f>4.5+594.1+61.9+269</f>
        <v>929.5</v>
      </c>
      <c r="P138" s="29">
        <f>M138+O138</f>
        <v>32762.7</v>
      </c>
      <c r="Q138" s="28" t="s">
        <v>218</v>
      </c>
      <c r="R138" s="29">
        <f>-125.4+211.5</f>
        <v>86.1</v>
      </c>
      <c r="S138" s="29">
        <f>P138+R138</f>
        <v>32848.800000000003</v>
      </c>
      <c r="T138" s="29"/>
      <c r="U138" s="29">
        <f t="shared" si="34"/>
        <v>32848.800000000003</v>
      </c>
      <c r="V138" s="28"/>
      <c r="W138" s="104"/>
      <c r="X138" s="29">
        <f t="shared" si="35"/>
        <v>32848.800000000003</v>
      </c>
      <c r="Y138" s="91"/>
    </row>
    <row r="139" spans="1:27" s="139" customFormat="1" ht="27.75" customHeight="1" collapsed="1" x14ac:dyDescent="0.2">
      <c r="A139" s="132"/>
      <c r="B139" s="133"/>
      <c r="C139" s="157" t="s">
        <v>156</v>
      </c>
      <c r="D139" s="156"/>
      <c r="E139" s="156"/>
      <c r="F139" s="156"/>
      <c r="G139" s="156"/>
      <c r="H139" s="134" t="s">
        <v>14</v>
      </c>
      <c r="I139" s="134" t="s">
        <v>10</v>
      </c>
      <c r="J139" s="134" t="s">
        <v>3</v>
      </c>
      <c r="K139" s="135">
        <f>SUM(K140)</f>
        <v>42940</v>
      </c>
      <c r="L139" s="135">
        <f t="shared" ref="L139:S139" si="37">SUM(L140)</f>
        <v>0</v>
      </c>
      <c r="M139" s="135">
        <f t="shared" si="37"/>
        <v>42940</v>
      </c>
      <c r="N139" s="136"/>
      <c r="O139" s="135">
        <f t="shared" si="37"/>
        <v>-352.70000000000005</v>
      </c>
      <c r="P139" s="135">
        <f t="shared" si="37"/>
        <v>42587.3</v>
      </c>
      <c r="Q139" s="136" t="s">
        <v>235</v>
      </c>
      <c r="R139" s="135">
        <f t="shared" si="37"/>
        <v>73.600000000000023</v>
      </c>
      <c r="S139" s="135">
        <f t="shared" si="37"/>
        <v>42660.9</v>
      </c>
      <c r="T139" s="135">
        <f>SUM(T140)</f>
        <v>0</v>
      </c>
      <c r="U139" s="135">
        <f t="shared" si="34"/>
        <v>42660.9</v>
      </c>
      <c r="V139" s="136"/>
      <c r="W139" s="137">
        <f>SUM(W140)</f>
        <v>0</v>
      </c>
      <c r="X139" s="135">
        <f t="shared" si="35"/>
        <v>42660.9</v>
      </c>
      <c r="Y139" s="138"/>
    </row>
    <row r="140" spans="1:27" ht="43.5" hidden="1" customHeight="1" outlineLevel="1" x14ac:dyDescent="0.2">
      <c r="A140" s="13"/>
      <c r="B140" s="92"/>
      <c r="C140" s="88"/>
      <c r="D140" s="154" t="s">
        <v>157</v>
      </c>
      <c r="E140" s="155"/>
      <c r="F140" s="155"/>
      <c r="G140" s="155"/>
      <c r="H140" s="15" t="s">
        <v>14</v>
      </c>
      <c r="I140" s="15" t="s">
        <v>10</v>
      </c>
      <c r="J140" s="15" t="s">
        <v>9</v>
      </c>
      <c r="K140" s="29">
        <v>42940</v>
      </c>
      <c r="L140" s="29"/>
      <c r="M140" s="29">
        <f t="shared" si="36"/>
        <v>42940</v>
      </c>
      <c r="N140" s="28"/>
      <c r="O140" s="29">
        <f>235.9-588.6</f>
        <v>-352.70000000000005</v>
      </c>
      <c r="P140" s="29">
        <f>M140+O140</f>
        <v>42587.3</v>
      </c>
      <c r="Q140" s="28" t="s">
        <v>235</v>
      </c>
      <c r="R140" s="29">
        <f>-325.7+399.3</f>
        <v>73.600000000000023</v>
      </c>
      <c r="S140" s="29">
        <f>P140+R140</f>
        <v>42660.9</v>
      </c>
      <c r="T140" s="29"/>
      <c r="U140" s="29">
        <f t="shared" si="34"/>
        <v>42660.9</v>
      </c>
      <c r="V140" s="28"/>
      <c r="W140" s="104"/>
      <c r="X140" s="29">
        <f t="shared" si="35"/>
        <v>42660.9</v>
      </c>
      <c r="Y140" s="91"/>
      <c r="AA140" s="73"/>
    </row>
    <row r="141" spans="1:27" s="139" customFormat="1" ht="54" customHeight="1" collapsed="1" x14ac:dyDescent="0.2">
      <c r="A141" s="132"/>
      <c r="B141" s="133"/>
      <c r="C141" s="157" t="s">
        <v>158</v>
      </c>
      <c r="D141" s="156"/>
      <c r="E141" s="156"/>
      <c r="F141" s="156"/>
      <c r="G141" s="156"/>
      <c r="H141" s="134" t="s">
        <v>14</v>
      </c>
      <c r="I141" s="134" t="s">
        <v>13</v>
      </c>
      <c r="J141" s="134" t="s">
        <v>3</v>
      </c>
      <c r="K141" s="135">
        <f>SUM(K142:K143)</f>
        <v>208786.9</v>
      </c>
      <c r="L141" s="135">
        <f>SUM(L142:L143)</f>
        <v>-10539.599999999999</v>
      </c>
      <c r="M141" s="135">
        <f>SUM(M142:M143)</f>
        <v>198247.3</v>
      </c>
      <c r="N141" s="136" t="s">
        <v>197</v>
      </c>
      <c r="O141" s="135">
        <f>SUM(O142:O143)</f>
        <v>-210.39999999999964</v>
      </c>
      <c r="P141" s="135">
        <f>SUM(P142:P143)</f>
        <v>198036.90000000002</v>
      </c>
      <c r="Q141" s="136" t="s">
        <v>265</v>
      </c>
      <c r="R141" s="135">
        <f>SUM(R142:R143)</f>
        <v>9380.6</v>
      </c>
      <c r="S141" s="135">
        <f>SUM(S142:S143)</f>
        <v>207417.5</v>
      </c>
      <c r="T141" s="135">
        <f>SUM(T142,T143)</f>
        <v>88.2</v>
      </c>
      <c r="U141" s="135">
        <f t="shared" si="34"/>
        <v>207505.7</v>
      </c>
      <c r="V141" s="136" t="s">
        <v>395</v>
      </c>
      <c r="W141" s="137">
        <f>SUM(W142:W143)</f>
        <v>1397.8999999999999</v>
      </c>
      <c r="X141" s="135">
        <f t="shared" si="35"/>
        <v>208903.6</v>
      </c>
      <c r="Y141" s="138" t="s">
        <v>442</v>
      </c>
    </row>
    <row r="142" spans="1:27" ht="64.5" hidden="1" customHeight="1" outlineLevel="1" x14ac:dyDescent="0.2">
      <c r="A142" s="13"/>
      <c r="B142" s="92"/>
      <c r="C142" s="88"/>
      <c r="D142" s="154" t="s">
        <v>159</v>
      </c>
      <c r="E142" s="155"/>
      <c r="F142" s="155"/>
      <c r="G142" s="155"/>
      <c r="H142" s="15" t="s">
        <v>14</v>
      </c>
      <c r="I142" s="15" t="s">
        <v>13</v>
      </c>
      <c r="J142" s="15" t="s">
        <v>9</v>
      </c>
      <c r="K142" s="29">
        <v>110151.9</v>
      </c>
      <c r="L142" s="29">
        <v>-2136.6999999999998</v>
      </c>
      <c r="M142" s="29">
        <f t="shared" si="36"/>
        <v>108015.2</v>
      </c>
      <c r="N142" s="28" t="s">
        <v>187</v>
      </c>
      <c r="O142" s="29">
        <f>-1620+627.7+175.9-219.1-1600</f>
        <v>-2635.5</v>
      </c>
      <c r="P142" s="29">
        <f>M142+O142</f>
        <v>105379.7</v>
      </c>
      <c r="Q142" s="28" t="s">
        <v>264</v>
      </c>
      <c r="R142" s="29">
        <f>2010+607.2+317.8+10+147.4</f>
        <v>3092.4</v>
      </c>
      <c r="S142" s="29">
        <f>P142+R142</f>
        <v>108472.09999999999</v>
      </c>
      <c r="T142" s="29">
        <f>88.2</f>
        <v>88.2</v>
      </c>
      <c r="U142" s="29">
        <f t="shared" si="34"/>
        <v>108560.29999999999</v>
      </c>
      <c r="V142" s="109" t="s">
        <v>395</v>
      </c>
      <c r="W142" s="104">
        <v>110.8</v>
      </c>
      <c r="X142" s="29">
        <f t="shared" si="35"/>
        <v>108671.09999999999</v>
      </c>
      <c r="Y142" s="91" t="s">
        <v>436</v>
      </c>
    </row>
    <row r="143" spans="1:27" ht="71.25" hidden="1" customHeight="1" outlineLevel="1" x14ac:dyDescent="0.2">
      <c r="A143" s="13"/>
      <c r="B143" s="92"/>
      <c r="C143" s="88"/>
      <c r="D143" s="154" t="s">
        <v>160</v>
      </c>
      <c r="E143" s="155"/>
      <c r="F143" s="155"/>
      <c r="G143" s="155"/>
      <c r="H143" s="15" t="s">
        <v>14</v>
      </c>
      <c r="I143" s="15" t="s">
        <v>13</v>
      </c>
      <c r="J143" s="15" t="s">
        <v>8</v>
      </c>
      <c r="K143" s="29">
        <v>98635</v>
      </c>
      <c r="L143" s="29">
        <f>-1965.5-6437.4</f>
        <v>-8402.9</v>
      </c>
      <c r="M143" s="29">
        <f t="shared" si="36"/>
        <v>90232.1</v>
      </c>
      <c r="N143" s="28" t="s">
        <v>196</v>
      </c>
      <c r="O143" s="29">
        <f>-4000+5426.3+114.9+100+1520.9-737</f>
        <v>2425.1000000000004</v>
      </c>
      <c r="P143" s="29">
        <f>M143+O143</f>
        <v>92657.200000000012</v>
      </c>
      <c r="Q143" s="28" t="s">
        <v>238</v>
      </c>
      <c r="R143" s="29">
        <f>500+52.7+4013.1+258.7-339.8+23.6+1779.9</f>
        <v>6288.2000000000007</v>
      </c>
      <c r="S143" s="29">
        <f>P143+R143</f>
        <v>98945.400000000009</v>
      </c>
      <c r="T143" s="29"/>
      <c r="U143" s="29">
        <f t="shared" si="34"/>
        <v>98945.400000000009</v>
      </c>
      <c r="V143" s="28"/>
      <c r="W143" s="104">
        <f>108.1+1179</f>
        <v>1287.0999999999999</v>
      </c>
      <c r="X143" s="29">
        <f t="shared" si="35"/>
        <v>100232.50000000001</v>
      </c>
      <c r="Y143" s="91" t="s">
        <v>428</v>
      </c>
    </row>
    <row r="144" spans="1:27" s="121" customFormat="1" ht="21.75" customHeight="1" collapsed="1" x14ac:dyDescent="0.2">
      <c r="A144" s="114"/>
      <c r="B144" s="158" t="s">
        <v>161</v>
      </c>
      <c r="C144" s="159"/>
      <c r="D144" s="159"/>
      <c r="E144" s="159"/>
      <c r="F144" s="159"/>
      <c r="G144" s="159"/>
      <c r="H144" s="115" t="s">
        <v>11</v>
      </c>
      <c r="I144" s="115" t="s">
        <v>3</v>
      </c>
      <c r="J144" s="115" t="s">
        <v>3</v>
      </c>
      <c r="K144" s="116">
        <f>K145+K147</f>
        <v>28278</v>
      </c>
      <c r="L144" s="116">
        <f>L145+L147</f>
        <v>0</v>
      </c>
      <c r="M144" s="116">
        <f>M145+M147</f>
        <v>28278</v>
      </c>
      <c r="N144" s="117"/>
      <c r="O144" s="116">
        <f>O145+O147</f>
        <v>-6180.6</v>
      </c>
      <c r="P144" s="116">
        <f>P145+P147</f>
        <v>22097.4</v>
      </c>
      <c r="Q144" s="117"/>
      <c r="R144" s="116">
        <f>R145+R147</f>
        <v>-14.2</v>
      </c>
      <c r="S144" s="116">
        <f>S145+S147</f>
        <v>22083.199999999997</v>
      </c>
      <c r="T144" s="116"/>
      <c r="U144" s="116">
        <f>SUM(S144+T144)</f>
        <v>22083.199999999997</v>
      </c>
      <c r="V144" s="118"/>
      <c r="W144" s="119">
        <f>SUM(W145,W147)</f>
        <v>9.8000000000000007</v>
      </c>
      <c r="X144" s="116">
        <f t="shared" si="35"/>
        <v>22092.999999999996</v>
      </c>
      <c r="Y144" s="120"/>
    </row>
    <row r="145" spans="1:25" s="139" customFormat="1" ht="16.5" customHeight="1" x14ac:dyDescent="0.2">
      <c r="A145" s="132"/>
      <c r="B145" s="133"/>
      <c r="C145" s="157" t="s">
        <v>162</v>
      </c>
      <c r="D145" s="156"/>
      <c r="E145" s="156"/>
      <c r="F145" s="156"/>
      <c r="G145" s="156"/>
      <c r="H145" s="134" t="s">
        <v>11</v>
      </c>
      <c r="I145" s="134" t="s">
        <v>12</v>
      </c>
      <c r="J145" s="134" t="s">
        <v>3</v>
      </c>
      <c r="K145" s="135">
        <f>SUM(K146)</f>
        <v>18852</v>
      </c>
      <c r="L145" s="135">
        <f t="shared" ref="L145:S145" si="38">SUM(L146)</f>
        <v>0</v>
      </c>
      <c r="M145" s="135">
        <f t="shared" si="38"/>
        <v>18852</v>
      </c>
      <c r="N145" s="136"/>
      <c r="O145" s="135">
        <f t="shared" si="38"/>
        <v>-8180.6</v>
      </c>
      <c r="P145" s="135">
        <f t="shared" si="38"/>
        <v>10671.4</v>
      </c>
      <c r="Q145" s="136" t="s">
        <v>211</v>
      </c>
      <c r="R145" s="135">
        <f t="shared" si="38"/>
        <v>0</v>
      </c>
      <c r="S145" s="135">
        <f t="shared" si="38"/>
        <v>10671.4</v>
      </c>
      <c r="T145" s="135"/>
      <c r="U145" s="135">
        <f>S145+T145</f>
        <v>10671.4</v>
      </c>
      <c r="V145" s="136"/>
      <c r="W145" s="137">
        <f>SUM(W146)</f>
        <v>0</v>
      </c>
      <c r="X145" s="135">
        <f t="shared" si="35"/>
        <v>10671.4</v>
      </c>
      <c r="Y145" s="138"/>
    </row>
    <row r="146" spans="1:25" ht="44.25" hidden="1" customHeight="1" outlineLevel="1" x14ac:dyDescent="0.2">
      <c r="A146" s="13"/>
      <c r="B146" s="92"/>
      <c r="C146" s="88"/>
      <c r="D146" s="154" t="s">
        <v>163</v>
      </c>
      <c r="E146" s="155"/>
      <c r="F146" s="155"/>
      <c r="G146" s="155"/>
      <c r="H146" s="15" t="s">
        <v>11</v>
      </c>
      <c r="I146" s="15" t="s">
        <v>12</v>
      </c>
      <c r="J146" s="15" t="s">
        <v>9</v>
      </c>
      <c r="K146" s="29">
        <v>18852</v>
      </c>
      <c r="L146" s="29"/>
      <c r="M146" s="29">
        <f t="shared" ref="M146:M155" si="39">K146+L146</f>
        <v>18852</v>
      </c>
      <c r="N146" s="28"/>
      <c r="O146" s="29">
        <v>-8180.6</v>
      </c>
      <c r="P146" s="29">
        <f>M146+O146</f>
        <v>10671.4</v>
      </c>
      <c r="Q146" s="28" t="s">
        <v>211</v>
      </c>
      <c r="R146" s="29"/>
      <c r="S146" s="29">
        <f>P146+R146</f>
        <v>10671.4</v>
      </c>
      <c r="T146" s="29"/>
      <c r="U146" s="29">
        <f>S146+T146</f>
        <v>10671.4</v>
      </c>
      <c r="V146" s="28"/>
      <c r="W146" s="104"/>
      <c r="X146" s="29">
        <f t="shared" si="35"/>
        <v>10671.4</v>
      </c>
      <c r="Y146" s="91"/>
    </row>
    <row r="147" spans="1:25" s="139" customFormat="1" ht="33.75" collapsed="1" x14ac:dyDescent="0.2">
      <c r="A147" s="132"/>
      <c r="B147" s="133"/>
      <c r="C147" s="157" t="s">
        <v>164</v>
      </c>
      <c r="D147" s="156"/>
      <c r="E147" s="156"/>
      <c r="F147" s="156"/>
      <c r="G147" s="156"/>
      <c r="H147" s="134" t="s">
        <v>11</v>
      </c>
      <c r="I147" s="134" t="s">
        <v>10</v>
      </c>
      <c r="J147" s="134" t="s">
        <v>3</v>
      </c>
      <c r="K147" s="135">
        <f>SUM(K148)</f>
        <v>9426</v>
      </c>
      <c r="L147" s="135">
        <f>SUM(L148)</f>
        <v>0</v>
      </c>
      <c r="M147" s="135">
        <f>SUM(M148)</f>
        <v>9426</v>
      </c>
      <c r="N147" s="136"/>
      <c r="O147" s="135">
        <f>SUM(O148)</f>
        <v>2000</v>
      </c>
      <c r="P147" s="135">
        <f>SUM(P148)</f>
        <v>11426</v>
      </c>
      <c r="Q147" s="136" t="s">
        <v>203</v>
      </c>
      <c r="R147" s="135">
        <f>SUM(R148)</f>
        <v>-14.2</v>
      </c>
      <c r="S147" s="135">
        <f>SUM(S148)</f>
        <v>11411.8</v>
      </c>
      <c r="T147" s="135"/>
      <c r="U147" s="135">
        <f>S147+T147</f>
        <v>11411.8</v>
      </c>
      <c r="V147" s="136"/>
      <c r="W147" s="137">
        <f>SUM(W148)</f>
        <v>9.8000000000000007</v>
      </c>
      <c r="X147" s="135">
        <f t="shared" si="35"/>
        <v>11421.599999999999</v>
      </c>
      <c r="Y147" s="138" t="s">
        <v>424</v>
      </c>
    </row>
    <row r="148" spans="1:25" ht="33.75" hidden="1" outlineLevel="1" x14ac:dyDescent="0.2">
      <c r="A148" s="13"/>
      <c r="B148" s="92"/>
      <c r="C148" s="88"/>
      <c r="D148" s="154" t="s">
        <v>165</v>
      </c>
      <c r="E148" s="155"/>
      <c r="F148" s="155"/>
      <c r="G148" s="155"/>
      <c r="H148" s="15" t="s">
        <v>11</v>
      </c>
      <c r="I148" s="15" t="s">
        <v>10</v>
      </c>
      <c r="J148" s="15" t="s">
        <v>9</v>
      </c>
      <c r="K148" s="29">
        <v>9426</v>
      </c>
      <c r="L148" s="29"/>
      <c r="M148" s="29">
        <f t="shared" si="39"/>
        <v>9426</v>
      </c>
      <c r="N148" s="28"/>
      <c r="O148" s="29">
        <v>2000</v>
      </c>
      <c r="P148" s="29">
        <f>M148+O148</f>
        <v>11426</v>
      </c>
      <c r="Q148" s="28" t="s">
        <v>203</v>
      </c>
      <c r="R148" s="29">
        <f>-14.2</f>
        <v>-14.2</v>
      </c>
      <c r="S148" s="29">
        <f>P148+R148</f>
        <v>11411.8</v>
      </c>
      <c r="T148" s="29"/>
      <c r="U148" s="29">
        <f>S148+T148</f>
        <v>11411.8</v>
      </c>
      <c r="V148" s="28"/>
      <c r="W148" s="104">
        <f>9.8</f>
        <v>9.8000000000000007</v>
      </c>
      <c r="X148" s="29">
        <f t="shared" si="35"/>
        <v>11421.599999999999</v>
      </c>
      <c r="Y148" s="91" t="s">
        <v>424</v>
      </c>
    </row>
    <row r="149" spans="1:25" s="121" customFormat="1" ht="15.75" customHeight="1" collapsed="1" x14ac:dyDescent="0.2">
      <c r="A149" s="114"/>
      <c r="B149" s="160" t="s">
        <v>166</v>
      </c>
      <c r="C149" s="161"/>
      <c r="D149" s="161"/>
      <c r="E149" s="161"/>
      <c r="F149" s="161"/>
      <c r="G149" s="161"/>
      <c r="H149" s="129" t="s">
        <v>2</v>
      </c>
      <c r="I149" s="129" t="s">
        <v>3</v>
      </c>
      <c r="J149" s="129" t="s">
        <v>3</v>
      </c>
      <c r="K149" s="130">
        <f>K150</f>
        <v>88047.4</v>
      </c>
      <c r="L149" s="130">
        <f t="shared" ref="L149:S149" si="40">L150</f>
        <v>0</v>
      </c>
      <c r="M149" s="130">
        <f t="shared" si="40"/>
        <v>88047.4</v>
      </c>
      <c r="N149" s="118"/>
      <c r="O149" s="130">
        <f t="shared" si="40"/>
        <v>1407</v>
      </c>
      <c r="P149" s="130">
        <f t="shared" si="40"/>
        <v>89454.399999999994</v>
      </c>
      <c r="Q149" s="118"/>
      <c r="R149" s="130">
        <f t="shared" si="40"/>
        <v>20488.100000000002</v>
      </c>
      <c r="S149" s="130">
        <f t="shared" si="40"/>
        <v>109942.5</v>
      </c>
      <c r="T149" s="130">
        <f>T150</f>
        <v>4984</v>
      </c>
      <c r="U149" s="130">
        <f>SUM(S149+T149)</f>
        <v>114926.5</v>
      </c>
      <c r="V149" s="118"/>
      <c r="W149" s="131">
        <f>SUM(W150)</f>
        <v>1312.6</v>
      </c>
      <c r="X149" s="130">
        <f t="shared" si="35"/>
        <v>116239.1</v>
      </c>
      <c r="Y149" s="120"/>
    </row>
    <row r="150" spans="1:25" s="139" customFormat="1" ht="21" customHeight="1" x14ac:dyDescent="0.2">
      <c r="A150" s="132"/>
      <c r="B150" s="133"/>
      <c r="C150" s="157" t="s">
        <v>166</v>
      </c>
      <c r="D150" s="156"/>
      <c r="E150" s="156"/>
      <c r="F150" s="156"/>
      <c r="G150" s="156"/>
      <c r="H150" s="134" t="s">
        <v>2</v>
      </c>
      <c r="I150" s="134" t="s">
        <v>1</v>
      </c>
      <c r="J150" s="134" t="s">
        <v>3</v>
      </c>
      <c r="K150" s="135">
        <f>K151+K152+K153+K154+K155</f>
        <v>88047.4</v>
      </c>
      <c r="L150" s="135">
        <f>L151+L152+L153+L154+L155</f>
        <v>0</v>
      </c>
      <c r="M150" s="135">
        <f>M151+M152+M153+M154+M155</f>
        <v>88047.4</v>
      </c>
      <c r="N150" s="136"/>
      <c r="O150" s="135">
        <f>O151+O152+O153+O154+O155</f>
        <v>1407</v>
      </c>
      <c r="P150" s="135">
        <f>P151+P152+P153+P154+P155</f>
        <v>89454.399999999994</v>
      </c>
      <c r="Q150" s="136"/>
      <c r="R150" s="135">
        <f>R151+R152+R153+R154+R155</f>
        <v>20488.100000000002</v>
      </c>
      <c r="S150" s="135">
        <f>S151+S152+S153+S154+S155</f>
        <v>109942.5</v>
      </c>
      <c r="T150" s="135">
        <f>T151+T152+T153+T154++T155+T156</f>
        <v>4984</v>
      </c>
      <c r="U150" s="135">
        <f>S150+T150</f>
        <v>114926.5</v>
      </c>
      <c r="V150" s="136" t="s">
        <v>402</v>
      </c>
      <c r="W150" s="137">
        <f>SUM(W151:W156)</f>
        <v>1312.6</v>
      </c>
      <c r="X150" s="135">
        <f t="shared" si="35"/>
        <v>116239.1</v>
      </c>
      <c r="Y150" s="138"/>
    </row>
    <row r="151" spans="1:25" ht="22.5" customHeight="1" x14ac:dyDescent="0.2">
      <c r="A151" s="13"/>
      <c r="B151" s="92"/>
      <c r="C151" s="88"/>
      <c r="D151" s="154" t="s">
        <v>167</v>
      </c>
      <c r="E151" s="155"/>
      <c r="F151" s="155"/>
      <c r="G151" s="155"/>
      <c r="H151" s="15" t="s">
        <v>2</v>
      </c>
      <c r="I151" s="15" t="s">
        <v>1</v>
      </c>
      <c r="J151" s="15" t="s">
        <v>9</v>
      </c>
      <c r="K151" s="29">
        <v>20061.3</v>
      </c>
      <c r="L151" s="29"/>
      <c r="M151" s="29">
        <f t="shared" si="39"/>
        <v>20061.3</v>
      </c>
      <c r="N151" s="28"/>
      <c r="O151" s="29">
        <v>-238.6</v>
      </c>
      <c r="P151" s="29">
        <f>M151+O151</f>
        <v>19822.7</v>
      </c>
      <c r="Q151" s="28" t="s">
        <v>239</v>
      </c>
      <c r="R151" s="29">
        <f>1099.2-10</f>
        <v>1089.2</v>
      </c>
      <c r="S151" s="29">
        <f>P151+R151</f>
        <v>20911.900000000001</v>
      </c>
      <c r="T151" s="29"/>
      <c r="U151" s="29">
        <f t="shared" ref="U151:U154" si="41">S151+T151</f>
        <v>20911.900000000001</v>
      </c>
      <c r="V151" s="108"/>
      <c r="W151" s="104"/>
      <c r="X151" s="29">
        <f t="shared" si="35"/>
        <v>20911.900000000001</v>
      </c>
      <c r="Y151" s="93"/>
    </row>
    <row r="152" spans="1:25" ht="27" customHeight="1" x14ac:dyDescent="0.2">
      <c r="A152" s="13"/>
      <c r="B152" s="92"/>
      <c r="C152" s="88"/>
      <c r="D152" s="154" t="s">
        <v>168</v>
      </c>
      <c r="E152" s="155"/>
      <c r="F152" s="155"/>
      <c r="G152" s="155"/>
      <c r="H152" s="15" t="s">
        <v>2</v>
      </c>
      <c r="I152" s="15" t="s">
        <v>1</v>
      </c>
      <c r="J152" s="15" t="s">
        <v>8</v>
      </c>
      <c r="K152" s="29">
        <v>13146.8</v>
      </c>
      <c r="L152" s="29"/>
      <c r="M152" s="29">
        <f t="shared" si="39"/>
        <v>13146.8</v>
      </c>
      <c r="N152" s="28"/>
      <c r="O152" s="29">
        <f>-10-50-494.4</f>
        <v>-554.4</v>
      </c>
      <c r="P152" s="29">
        <f>M152+O152</f>
        <v>12592.4</v>
      </c>
      <c r="Q152" s="28" t="s">
        <v>240</v>
      </c>
      <c r="R152" s="29">
        <f>10+1122.7-141.9+312</f>
        <v>1302.8000000000002</v>
      </c>
      <c r="S152" s="29">
        <f>P152+R152</f>
        <v>13895.2</v>
      </c>
      <c r="T152" s="29"/>
      <c r="U152" s="29">
        <f t="shared" si="41"/>
        <v>13895.2</v>
      </c>
      <c r="V152" s="28"/>
      <c r="W152" s="104">
        <v>-434.3</v>
      </c>
      <c r="X152" s="29">
        <f t="shared" si="35"/>
        <v>13460.900000000001</v>
      </c>
      <c r="Y152" s="91" t="s">
        <v>435</v>
      </c>
    </row>
    <row r="153" spans="1:25" ht="23.25" customHeight="1" x14ac:dyDescent="0.2">
      <c r="A153" s="13"/>
      <c r="B153" s="92"/>
      <c r="C153" s="88"/>
      <c r="D153" s="154" t="s">
        <v>169</v>
      </c>
      <c r="E153" s="155"/>
      <c r="F153" s="155"/>
      <c r="G153" s="155"/>
      <c r="H153" s="15" t="s">
        <v>2</v>
      </c>
      <c r="I153" s="15" t="s">
        <v>1</v>
      </c>
      <c r="J153" s="15" t="s">
        <v>7</v>
      </c>
      <c r="K153" s="29">
        <v>2000</v>
      </c>
      <c r="L153" s="29"/>
      <c r="M153" s="29">
        <f t="shared" si="39"/>
        <v>2000</v>
      </c>
      <c r="N153" s="28"/>
      <c r="O153" s="29">
        <v>-400</v>
      </c>
      <c r="P153" s="29">
        <f>M153+O153</f>
        <v>1600</v>
      </c>
      <c r="Q153" s="28" t="s">
        <v>266</v>
      </c>
      <c r="R153" s="29"/>
      <c r="S153" s="29">
        <f>P153+R153</f>
        <v>1600</v>
      </c>
      <c r="T153" s="29">
        <v>-300</v>
      </c>
      <c r="U153" s="29">
        <f t="shared" si="41"/>
        <v>1300</v>
      </c>
      <c r="V153" s="28" t="s">
        <v>397</v>
      </c>
      <c r="W153" s="104">
        <f>-600+600-600</f>
        <v>-600</v>
      </c>
      <c r="X153" s="29">
        <f t="shared" si="35"/>
        <v>700</v>
      </c>
      <c r="Y153" s="91" t="s">
        <v>415</v>
      </c>
    </row>
    <row r="154" spans="1:25" ht="92.25" customHeight="1" x14ac:dyDescent="0.2">
      <c r="A154" s="13"/>
      <c r="B154" s="92"/>
      <c r="C154" s="88"/>
      <c r="D154" s="154" t="s">
        <v>170</v>
      </c>
      <c r="E154" s="155"/>
      <c r="F154" s="155"/>
      <c r="G154" s="155"/>
      <c r="H154" s="15" t="s">
        <v>2</v>
      </c>
      <c r="I154" s="15" t="s">
        <v>1</v>
      </c>
      <c r="J154" s="15" t="s">
        <v>6</v>
      </c>
      <c r="K154" s="29">
        <v>9645</v>
      </c>
      <c r="L154" s="29"/>
      <c r="M154" s="29">
        <f t="shared" si="39"/>
        <v>9645</v>
      </c>
      <c r="N154" s="28"/>
      <c r="O154" s="29">
        <f>600+400+1600</f>
        <v>2600</v>
      </c>
      <c r="P154" s="29">
        <f>M154+O154</f>
        <v>12245</v>
      </c>
      <c r="Q154" s="28" t="s">
        <v>267</v>
      </c>
      <c r="R154" s="29">
        <f>960+2212.4+2158+200+0.5+9363.5</f>
        <v>14894.4</v>
      </c>
      <c r="S154" s="29">
        <f>P154+R154</f>
        <v>27139.4</v>
      </c>
      <c r="T154" s="29">
        <v>300</v>
      </c>
      <c r="U154" s="29">
        <f t="shared" si="41"/>
        <v>27439.4</v>
      </c>
      <c r="V154" s="28" t="s">
        <v>396</v>
      </c>
      <c r="W154" s="104">
        <f>630+400+239-300</f>
        <v>969</v>
      </c>
      <c r="X154" s="29">
        <f t="shared" si="35"/>
        <v>28408.400000000001</v>
      </c>
      <c r="Y154" s="91" t="s">
        <v>434</v>
      </c>
    </row>
    <row r="155" spans="1:25" ht="78" customHeight="1" x14ac:dyDescent="0.2">
      <c r="A155" s="13"/>
      <c r="B155" s="92"/>
      <c r="C155" s="88"/>
      <c r="D155" s="154" t="s">
        <v>155</v>
      </c>
      <c r="E155" s="155"/>
      <c r="F155" s="155"/>
      <c r="G155" s="155"/>
      <c r="H155" s="15" t="s">
        <v>2</v>
      </c>
      <c r="I155" s="15" t="s">
        <v>1</v>
      </c>
      <c r="J155" s="15" t="s">
        <v>5</v>
      </c>
      <c r="K155" s="29">
        <v>43194.3</v>
      </c>
      <c r="L155" s="29"/>
      <c r="M155" s="29">
        <f t="shared" si="39"/>
        <v>43194.3</v>
      </c>
      <c r="N155" s="28"/>
      <c r="O155" s="29"/>
      <c r="P155" s="29">
        <f>M155+O155</f>
        <v>43194.3</v>
      </c>
      <c r="Q155" s="28"/>
      <c r="R155" s="29">
        <f>-480.1+2500+1500-318.2</f>
        <v>3201.7000000000003</v>
      </c>
      <c r="S155" s="29">
        <f>P155+R155</f>
        <v>46396</v>
      </c>
      <c r="T155" s="29">
        <v>4984</v>
      </c>
      <c r="U155" s="29">
        <f>S155+T155</f>
        <v>51380</v>
      </c>
      <c r="V155" s="28" t="s">
        <v>402</v>
      </c>
      <c r="W155" s="104">
        <f>2094.6-716.7</f>
        <v>1377.8999999999999</v>
      </c>
      <c r="X155" s="29">
        <f t="shared" si="35"/>
        <v>52757.9</v>
      </c>
      <c r="Y155" s="91" t="s">
        <v>408</v>
      </c>
    </row>
    <row r="156" spans="1:25" ht="21.75" customHeight="1" thickBot="1" x14ac:dyDescent="0.25">
      <c r="A156" s="13"/>
      <c r="B156" s="92"/>
      <c r="C156" s="88"/>
      <c r="D156" s="165" t="s">
        <v>4</v>
      </c>
      <c r="E156" s="166"/>
      <c r="F156" s="166"/>
      <c r="G156" s="167"/>
      <c r="H156" s="86" t="s">
        <v>2</v>
      </c>
      <c r="I156" s="86" t="s">
        <v>1</v>
      </c>
      <c r="J156" s="86" t="s">
        <v>0</v>
      </c>
      <c r="K156" s="18">
        <v>0</v>
      </c>
      <c r="L156" s="18">
        <v>0</v>
      </c>
      <c r="M156" s="18">
        <f>K156+L156</f>
        <v>0</v>
      </c>
      <c r="N156" s="74"/>
      <c r="O156" s="18">
        <v>0</v>
      </c>
      <c r="P156" s="18">
        <f>N156+O156</f>
        <v>0</v>
      </c>
      <c r="Q156" s="74"/>
      <c r="R156" s="18">
        <v>0</v>
      </c>
      <c r="S156" s="18">
        <f>Q156+R156</f>
        <v>0</v>
      </c>
      <c r="T156" s="18"/>
      <c r="U156" s="18">
        <f>S156+T156</f>
        <v>0</v>
      </c>
      <c r="V156" s="74"/>
      <c r="W156" s="105"/>
      <c r="X156" s="18"/>
      <c r="Y156" s="96"/>
    </row>
    <row r="157" spans="1:25" ht="12.75" customHeight="1" thickBot="1" x14ac:dyDescent="0.25">
      <c r="A157" s="75"/>
      <c r="B157" s="97"/>
      <c r="C157" s="98"/>
      <c r="D157" s="98"/>
      <c r="E157" s="98"/>
      <c r="F157" s="99"/>
      <c r="G157" s="76"/>
      <c r="H157" s="77" t="s">
        <v>2</v>
      </c>
      <c r="I157" s="77" t="s">
        <v>1</v>
      </c>
      <c r="J157" s="77" t="s">
        <v>0</v>
      </c>
      <c r="K157" s="21">
        <f>K8+K16+K21+K23+K25+K30+K42+K44+K47+K57+K62+K75+K79+K87+K104+K106+K109+K117+K119+K133+K135+K144+K149</f>
        <v>4118675.9</v>
      </c>
      <c r="L157" s="21">
        <f>L8+L16+L21+L23+L25+L30+L42+L44+L47+L57+L62+L75+L79+L87+L104+L106+L109+L117+L119+L133+L135+L144+L149</f>
        <v>17838.200000000004</v>
      </c>
      <c r="M157" s="21">
        <f>M8+M16+M21+M23+M25+M30+M42+M44+M47+M57+M62+M75+M79+M87+M104+M106+M109+M117+M119+M133+M135+M144+M149</f>
        <v>4136514.0999999996</v>
      </c>
      <c r="N157" s="78"/>
      <c r="O157" s="21">
        <f>O8+O16+O21+O23+O25+O30+O42+O44+O47+O57+O62+O75+O79+O87+O104+O106+O109+O117+O119+O133+O135+O144+O149</f>
        <v>169718.00000000006</v>
      </c>
      <c r="P157" s="21">
        <f>P8+P16+P21+P23+P25+P30+P42+P44+P47+P57+P62+P75+P79+P87+P104+P106+P109+P117+P119+P133+P135+P144+P149</f>
        <v>4306432.2000000011</v>
      </c>
      <c r="Q157" s="78"/>
      <c r="R157" s="21">
        <f>R8+R16+R21+R23+R25+R30+R42+R44+R47+R57+R62+R75+R79+R87+R104+R106+R109+R117+R119+R133+R135+R144+R149</f>
        <v>960381.19999999984</v>
      </c>
      <c r="S157" s="21">
        <f>S8+S16+S21+S23+S25+S30+S42+S44+S47+S57+S62+S75+S79+S87+S104+S106+S109+S117+S119+S133+S135+S144+S149</f>
        <v>5266813.3999999994</v>
      </c>
      <c r="T157" s="21">
        <f>T8+T16+T21+T23+T25+T30+T42+T44+T47+T57+T62+T75+T79+T87+T104+T106+T109+T117+T119+T133+T135+T144+T149</f>
        <v>247808.30000000002</v>
      </c>
      <c r="U157" s="21">
        <f>U8+U16+U21+U23+U25+U30+U42+U44+U47+U57+U62+U75+U79+U87+U104+U106+U109+U117+U119+U133+U135+U144+U149</f>
        <v>5514621.7000000002</v>
      </c>
      <c r="V157" s="111"/>
      <c r="W157" s="106">
        <f>W8+W16+W21+W23+W25+W30+W42+W44+W47+W57+W62+W75+W79+W87+W104+W106+W109+W117+W119+W133+W135+W144+W149</f>
        <v>78318.60000000002</v>
      </c>
      <c r="X157" s="21">
        <f>X8+X16+X21+X23+X25+X30+X42+X44+X47+X57+X62+X75+X79+X87+X104+X106+X109+X117+X119+X133+X135+X144+X149</f>
        <v>5592940.2999999989</v>
      </c>
      <c r="Y157" s="78"/>
    </row>
    <row r="158" spans="1:25" ht="12.75" hidden="1" customHeight="1" thickBot="1" x14ac:dyDescent="0.25">
      <c r="A158" s="79"/>
      <c r="B158" s="90"/>
      <c r="C158" s="80"/>
      <c r="D158" s="80"/>
      <c r="E158" s="80"/>
      <c r="F158" s="80"/>
      <c r="G158" s="80"/>
      <c r="H158" s="81">
        <v>0</v>
      </c>
      <c r="I158" s="81">
        <v>0</v>
      </c>
      <c r="J158" s="81"/>
      <c r="K158" s="81">
        <v>0</v>
      </c>
      <c r="L158" s="81">
        <v>0</v>
      </c>
      <c r="M158" s="81">
        <v>0</v>
      </c>
      <c r="N158" s="82">
        <v>0</v>
      </c>
      <c r="O158" s="81">
        <v>0</v>
      </c>
      <c r="P158" s="81">
        <v>0</v>
      </c>
      <c r="Q158" s="82">
        <v>0</v>
      </c>
      <c r="R158" s="81">
        <v>0</v>
      </c>
      <c r="S158" s="81">
        <v>0</v>
      </c>
      <c r="T158" s="81"/>
      <c r="U158" s="81"/>
      <c r="V158" s="82">
        <v>0</v>
      </c>
      <c r="W158" s="81"/>
      <c r="X158" s="81"/>
      <c r="Y158" s="82">
        <v>0</v>
      </c>
    </row>
    <row r="159" spans="1:25" ht="12.75" customHeight="1" x14ac:dyDescent="0.25">
      <c r="A159" s="83"/>
      <c r="B159" s="84"/>
      <c r="C159" s="84"/>
      <c r="D159" s="84"/>
      <c r="E159" s="84"/>
      <c r="F159" s="84"/>
      <c r="G159" s="84"/>
      <c r="H159" s="84"/>
      <c r="I159" s="84"/>
      <c r="J159" s="84"/>
      <c r="K159" s="85"/>
      <c r="L159" s="85"/>
      <c r="M159" s="85"/>
      <c r="N159" s="72"/>
      <c r="O159" s="85"/>
      <c r="P159" s="85"/>
      <c r="Q159" s="72"/>
      <c r="R159" s="85"/>
      <c r="S159" s="85"/>
      <c r="T159" s="13"/>
      <c r="U159" s="13"/>
      <c r="V159" s="72"/>
      <c r="W159" s="13"/>
      <c r="X159" s="13"/>
      <c r="Y159" s="72"/>
    </row>
  </sheetData>
  <mergeCells count="165">
    <mergeCell ref="B25:G25"/>
    <mergeCell ref="W4:W6"/>
    <mergeCell ref="X4:X6"/>
    <mergeCell ref="Y4:Y6"/>
    <mergeCell ref="W1:Y1"/>
    <mergeCell ref="W2:Y2"/>
    <mergeCell ref="T4:T6"/>
    <mergeCell ref="U4:U6"/>
    <mergeCell ref="M4:M6"/>
    <mergeCell ref="C13:G13"/>
    <mergeCell ref="P1:Q1"/>
    <mergeCell ref="P2:Q2"/>
    <mergeCell ref="H4:J6"/>
    <mergeCell ref="O4:O6"/>
    <mergeCell ref="P4:P6"/>
    <mergeCell ref="K4:K6"/>
    <mergeCell ref="L4:L6"/>
    <mergeCell ref="R4:R6"/>
    <mergeCell ref="S4:S6"/>
    <mergeCell ref="V4:V6"/>
    <mergeCell ref="D15:G15"/>
    <mergeCell ref="B23:G23"/>
    <mergeCell ref="B4:B6"/>
    <mergeCell ref="E4:E6"/>
    <mergeCell ref="F4:F6"/>
    <mergeCell ref="D14:G14"/>
    <mergeCell ref="D10:G10"/>
    <mergeCell ref="D12:G12"/>
    <mergeCell ref="D17:G17"/>
    <mergeCell ref="D18:G18"/>
    <mergeCell ref="D22:G22"/>
    <mergeCell ref="C4:C6"/>
    <mergeCell ref="D4:D6"/>
    <mergeCell ref="B8:G8"/>
    <mergeCell ref="G4:G6"/>
    <mergeCell ref="B16:G16"/>
    <mergeCell ref="B21:G21"/>
    <mergeCell ref="D19:G19"/>
    <mergeCell ref="D20:G20"/>
    <mergeCell ref="C9:G9"/>
    <mergeCell ref="C11:G11"/>
    <mergeCell ref="D156:G156"/>
    <mergeCell ref="D35:G35"/>
    <mergeCell ref="C68:G68"/>
    <mergeCell ref="D126:G126"/>
    <mergeCell ref="D123:G123"/>
    <mergeCell ref="D81:G81"/>
    <mergeCell ref="C80:G80"/>
    <mergeCell ref="D84:G84"/>
    <mergeCell ref="D86:G86"/>
    <mergeCell ref="D90:G90"/>
    <mergeCell ref="D92:G92"/>
    <mergeCell ref="D94:G94"/>
    <mergeCell ref="D96:G96"/>
    <mergeCell ref="D101:G101"/>
    <mergeCell ref="C150:G150"/>
    <mergeCell ref="C136:G136"/>
    <mergeCell ref="D152:G152"/>
    <mergeCell ref="D111:G111"/>
    <mergeCell ref="D137:G137"/>
    <mergeCell ref="D108:G108"/>
    <mergeCell ref="B119:G119"/>
    <mergeCell ref="B47:G47"/>
    <mergeCell ref="D53:G53"/>
    <mergeCell ref="D89:G89"/>
    <mergeCell ref="D24:G24"/>
    <mergeCell ref="B79:G79"/>
    <mergeCell ref="D34:G34"/>
    <mergeCell ref="D41:G41"/>
    <mergeCell ref="D130:G130"/>
    <mergeCell ref="D103:G103"/>
    <mergeCell ref="D113:G113"/>
    <mergeCell ref="D114:G114"/>
    <mergeCell ref="D112:G112"/>
    <mergeCell ref="D116:G116"/>
    <mergeCell ref="D118:G118"/>
    <mergeCell ref="D125:G125"/>
    <mergeCell ref="C124:G124"/>
    <mergeCell ref="D128:G128"/>
    <mergeCell ref="C127:G127"/>
    <mergeCell ref="C110:G110"/>
    <mergeCell ref="C115:G115"/>
    <mergeCell ref="C120:G120"/>
    <mergeCell ref="D45:G45"/>
    <mergeCell ref="B44:G44"/>
    <mergeCell ref="D51:G51"/>
    <mergeCell ref="D122:G122"/>
    <mergeCell ref="B106:G106"/>
    <mergeCell ref="B109:G109"/>
    <mergeCell ref="D107:G107"/>
    <mergeCell ref="C52:G52"/>
    <mergeCell ref="D66:G66"/>
    <mergeCell ref="D67:G67"/>
    <mergeCell ref="B57:G57"/>
    <mergeCell ref="D59:G59"/>
    <mergeCell ref="B62:G62"/>
    <mergeCell ref="D95:G95"/>
    <mergeCell ref="C71:G71"/>
    <mergeCell ref="D78:G78"/>
    <mergeCell ref="B75:G75"/>
    <mergeCell ref="D54:G54"/>
    <mergeCell ref="D50:G50"/>
    <mergeCell ref="D49:G49"/>
    <mergeCell ref="D153:G153"/>
    <mergeCell ref="D154:G154"/>
    <mergeCell ref="D155:G155"/>
    <mergeCell ref="B104:G104"/>
    <mergeCell ref="B117:G117"/>
    <mergeCell ref="D121:G121"/>
    <mergeCell ref="B135:G135"/>
    <mergeCell ref="B144:G144"/>
    <mergeCell ref="B149:G149"/>
    <mergeCell ref="C147:G147"/>
    <mergeCell ref="D146:G146"/>
    <mergeCell ref="B133:G133"/>
    <mergeCell ref="C139:G139"/>
    <mergeCell ref="D138:G138"/>
    <mergeCell ref="C141:G141"/>
    <mergeCell ref="C145:G145"/>
    <mergeCell ref="D143:G143"/>
    <mergeCell ref="D151:G151"/>
    <mergeCell ref="D140:G140"/>
    <mergeCell ref="D142:G142"/>
    <mergeCell ref="D148:G148"/>
    <mergeCell ref="C131:G131"/>
    <mergeCell ref="C26:G26"/>
    <mergeCell ref="D37:G37"/>
    <mergeCell ref="D40:G40"/>
    <mergeCell ref="C29:G29"/>
    <mergeCell ref="D27:G27"/>
    <mergeCell ref="D28:G28"/>
    <mergeCell ref="C39:G39"/>
    <mergeCell ref="D38:G38"/>
    <mergeCell ref="C48:G48"/>
    <mergeCell ref="D32:G32"/>
    <mergeCell ref="D33:G33"/>
    <mergeCell ref="D43:G43"/>
    <mergeCell ref="B30:G30"/>
    <mergeCell ref="B42:G42"/>
    <mergeCell ref="C31:G31"/>
    <mergeCell ref="C36:G36"/>
    <mergeCell ref="D134:G134"/>
    <mergeCell ref="C100:G100"/>
    <mergeCell ref="D77:G77"/>
    <mergeCell ref="C93:G93"/>
    <mergeCell ref="D58:G58"/>
    <mergeCell ref="C98:G98"/>
    <mergeCell ref="C83:G83"/>
    <mergeCell ref="D82:G82"/>
    <mergeCell ref="C85:G85"/>
    <mergeCell ref="C88:G88"/>
    <mergeCell ref="B87:G87"/>
    <mergeCell ref="D74:G74"/>
    <mergeCell ref="D76:G76"/>
    <mergeCell ref="C63:G63"/>
    <mergeCell ref="C65:G65"/>
    <mergeCell ref="D64:G64"/>
    <mergeCell ref="C102:G102"/>
    <mergeCell ref="D99:G99"/>
    <mergeCell ref="D70:G70"/>
    <mergeCell ref="D60:G60"/>
    <mergeCell ref="D61:G61"/>
    <mergeCell ref="C73:G73"/>
    <mergeCell ref="D129:G129"/>
    <mergeCell ref="D105:G105"/>
  </mergeCells>
  <pageMargins left="0.78740157480314965" right="0.39370078740157483" top="0.78740157480314965" bottom="0.39370078740157483" header="0.31496062992125984" footer="0.31496062992125984"/>
  <pageSetup paperSize="9" scale="5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6"/>
  <sheetViews>
    <sheetView showGridLines="0" view="pageBreakPreview" topLeftCell="A89" zoomScaleNormal="100" zoomScaleSheetLayoutView="100" workbookViewId="0">
      <selection activeCell="K94" sqref="K94"/>
    </sheetView>
  </sheetViews>
  <sheetFormatPr defaultColWidth="9.140625" defaultRowHeight="12.75" outlineLevelRow="1" x14ac:dyDescent="0.2"/>
  <cols>
    <col min="1" max="1" width="0.7109375" style="37" customWidth="1"/>
    <col min="2" max="6" width="2.7109375" style="37" hidden="1" customWidth="1"/>
    <col min="7" max="7" width="50.7109375" style="37" customWidth="1"/>
    <col min="8" max="8" width="5.85546875" style="37" customWidth="1"/>
    <col min="9" max="9" width="4.85546875" style="37" customWidth="1"/>
    <col min="10" max="10" width="5.28515625" style="37" customWidth="1"/>
    <col min="11" max="11" width="14.28515625" style="37" customWidth="1"/>
    <col min="12" max="12" width="15.140625" style="37" hidden="1" customWidth="1"/>
    <col min="13" max="13" width="14.28515625" style="37" customWidth="1"/>
    <col min="14" max="14" width="44.7109375" style="46" hidden="1" customWidth="1"/>
    <col min="15" max="15" width="15.140625" style="37" hidden="1" customWidth="1"/>
    <col min="16" max="16" width="14.85546875" style="37" customWidth="1"/>
    <col min="17" max="17" width="70" style="46" hidden="1" customWidth="1"/>
    <col min="18" max="18" width="16.5703125" style="37" customWidth="1"/>
    <col min="19" max="19" width="13.5703125" style="37" customWidth="1"/>
    <col min="20" max="20" width="74.7109375" style="46" customWidth="1"/>
    <col min="21" max="246" width="9.140625" style="37" customWidth="1"/>
    <col min="247" max="16384" width="9.140625" style="37"/>
  </cols>
  <sheetData>
    <row r="1" spans="1:21" ht="18" customHeight="1" x14ac:dyDescent="0.2">
      <c r="A1" s="44"/>
      <c r="B1" s="44"/>
      <c r="C1" s="44"/>
      <c r="D1" s="44"/>
      <c r="E1" s="44"/>
      <c r="F1" s="44"/>
      <c r="G1" s="45"/>
      <c r="H1" s="44"/>
      <c r="I1" s="44"/>
      <c r="J1" s="44"/>
      <c r="K1" s="44"/>
      <c r="L1" s="44"/>
      <c r="M1" s="44"/>
      <c r="P1" s="196"/>
      <c r="Q1" s="197"/>
      <c r="S1" s="196" t="s">
        <v>289</v>
      </c>
      <c r="T1" s="197"/>
    </row>
    <row r="2" spans="1:21" ht="18" customHeight="1" x14ac:dyDescent="0.2">
      <c r="A2" s="44"/>
      <c r="B2" s="44"/>
      <c r="C2" s="44"/>
      <c r="D2" s="44"/>
      <c r="E2" s="44"/>
      <c r="F2" s="44"/>
      <c r="G2" s="6"/>
      <c r="H2" s="44"/>
      <c r="I2" s="44"/>
      <c r="J2" s="44"/>
      <c r="K2" s="44"/>
      <c r="L2" s="44"/>
      <c r="M2" s="44"/>
      <c r="P2" s="196"/>
      <c r="Q2" s="197"/>
      <c r="S2" s="196" t="s">
        <v>38</v>
      </c>
      <c r="T2" s="197"/>
    </row>
    <row r="3" spans="1:21" ht="12.75" customHeight="1" thickBot="1" x14ac:dyDescent="0.25">
      <c r="A3" s="44"/>
      <c r="B3" s="44"/>
      <c r="C3" s="44"/>
      <c r="D3" s="47"/>
      <c r="E3" s="47"/>
      <c r="F3" s="47"/>
      <c r="G3" s="47"/>
      <c r="H3" s="44"/>
      <c r="I3" s="44"/>
      <c r="J3" s="33"/>
      <c r="K3" s="47"/>
      <c r="L3" s="47"/>
      <c r="M3" s="47"/>
      <c r="N3" s="48"/>
      <c r="O3" s="47"/>
      <c r="P3" s="47"/>
      <c r="Q3" s="48"/>
      <c r="R3" s="47"/>
      <c r="S3" s="47"/>
      <c r="T3" s="48"/>
    </row>
    <row r="4" spans="1:21" ht="37.5" customHeight="1" thickBot="1" x14ac:dyDescent="0.25">
      <c r="A4" s="33"/>
      <c r="B4" s="198" t="s">
        <v>34</v>
      </c>
      <c r="C4" s="199" t="s">
        <v>34</v>
      </c>
      <c r="D4" s="201" t="s">
        <v>34</v>
      </c>
      <c r="E4" s="202" t="s">
        <v>34</v>
      </c>
      <c r="F4" s="202" t="s">
        <v>33</v>
      </c>
      <c r="G4" s="203" t="s">
        <v>35</v>
      </c>
      <c r="H4" s="212" t="s">
        <v>36</v>
      </c>
      <c r="I4" s="213"/>
      <c r="J4" s="214"/>
      <c r="K4" s="214" t="s">
        <v>190</v>
      </c>
      <c r="L4" s="206" t="s">
        <v>188</v>
      </c>
      <c r="M4" s="214" t="s">
        <v>202</v>
      </c>
      <c r="N4" s="49" t="s">
        <v>37</v>
      </c>
      <c r="O4" s="206" t="s">
        <v>188</v>
      </c>
      <c r="P4" s="214" t="s">
        <v>288</v>
      </c>
      <c r="Q4" s="49" t="s">
        <v>37</v>
      </c>
      <c r="R4" s="206" t="s">
        <v>188</v>
      </c>
      <c r="S4" s="206" t="s">
        <v>189</v>
      </c>
      <c r="T4" s="209" t="s">
        <v>37</v>
      </c>
    </row>
    <row r="5" spans="1:21" ht="11.25" customHeight="1" thickBot="1" x14ac:dyDescent="0.25">
      <c r="A5" s="33"/>
      <c r="B5" s="198"/>
      <c r="C5" s="200"/>
      <c r="D5" s="201"/>
      <c r="E5" s="202"/>
      <c r="F5" s="202"/>
      <c r="G5" s="203"/>
      <c r="H5" s="215"/>
      <c r="I5" s="216"/>
      <c r="J5" s="217"/>
      <c r="K5" s="217"/>
      <c r="L5" s="207"/>
      <c r="M5" s="217"/>
      <c r="N5" s="50"/>
      <c r="O5" s="207"/>
      <c r="P5" s="217"/>
      <c r="Q5" s="50"/>
      <c r="R5" s="207"/>
      <c r="S5" s="207"/>
      <c r="T5" s="210"/>
    </row>
    <row r="6" spans="1:21" ht="61.5" customHeight="1" thickBot="1" x14ac:dyDescent="0.25">
      <c r="A6" s="33"/>
      <c r="B6" s="198"/>
      <c r="C6" s="200"/>
      <c r="D6" s="201"/>
      <c r="E6" s="202"/>
      <c r="F6" s="202"/>
      <c r="G6" s="203"/>
      <c r="H6" s="218"/>
      <c r="I6" s="219"/>
      <c r="J6" s="220"/>
      <c r="K6" s="220"/>
      <c r="L6" s="207"/>
      <c r="M6" s="220"/>
      <c r="N6" s="50"/>
      <c r="O6" s="207"/>
      <c r="P6" s="220"/>
      <c r="Q6" s="50"/>
      <c r="R6" s="208"/>
      <c r="S6" s="208"/>
      <c r="T6" s="211"/>
    </row>
    <row r="7" spans="1:21" ht="12.75" hidden="1" customHeight="1" x14ac:dyDescent="0.2">
      <c r="A7" s="44"/>
      <c r="B7" s="51" t="s">
        <v>12</v>
      </c>
      <c r="C7" s="52"/>
      <c r="D7" s="53"/>
      <c r="E7" s="54" t="s">
        <v>10</v>
      </c>
      <c r="F7" s="54" t="s">
        <v>13</v>
      </c>
      <c r="G7" s="54" t="s">
        <v>24</v>
      </c>
      <c r="H7" s="55"/>
      <c r="I7" s="55"/>
      <c r="J7" s="55"/>
      <c r="K7" s="54" t="s">
        <v>32</v>
      </c>
      <c r="L7" s="55"/>
      <c r="M7" s="55"/>
      <c r="N7" s="56"/>
      <c r="O7" s="55"/>
      <c r="P7" s="55"/>
      <c r="Q7" s="56"/>
      <c r="R7" s="55"/>
      <c r="S7" s="55"/>
      <c r="T7" s="56"/>
    </row>
    <row r="8" spans="1:21" ht="45.75" customHeight="1" x14ac:dyDescent="0.2">
      <c r="A8" s="33"/>
      <c r="B8" s="205" t="s">
        <v>45</v>
      </c>
      <c r="C8" s="205"/>
      <c r="D8" s="205"/>
      <c r="E8" s="205"/>
      <c r="F8" s="205"/>
      <c r="G8" s="205"/>
      <c r="H8" s="35" t="s">
        <v>9</v>
      </c>
      <c r="I8" s="35" t="s">
        <v>3</v>
      </c>
      <c r="J8" s="35" t="s">
        <v>3</v>
      </c>
      <c r="K8" s="36">
        <f>K9+K11+K13</f>
        <v>35311.300000000003</v>
      </c>
      <c r="L8" s="36">
        <f>L9+L11+L13</f>
        <v>0</v>
      </c>
      <c r="M8" s="36">
        <f>M9+M11+M13</f>
        <v>35311.300000000003</v>
      </c>
      <c r="N8" s="30"/>
      <c r="O8" s="36">
        <f>O9+O11+O13</f>
        <v>-207.7</v>
      </c>
      <c r="P8" s="36">
        <f>P9+P11+P13</f>
        <v>35103.600000000006</v>
      </c>
      <c r="Q8" s="30"/>
      <c r="R8" s="36">
        <f>R9+R11+R13</f>
        <v>1305.1000000000004</v>
      </c>
      <c r="S8" s="36">
        <f>S9+S11+S13</f>
        <v>36408.699999999997</v>
      </c>
      <c r="T8" s="30"/>
    </row>
    <row r="9" spans="1:21" ht="92.25" customHeight="1" x14ac:dyDescent="0.2">
      <c r="A9" s="33"/>
      <c r="B9" s="34"/>
      <c r="C9" s="204" t="s">
        <v>46</v>
      </c>
      <c r="D9" s="204"/>
      <c r="E9" s="204"/>
      <c r="F9" s="204"/>
      <c r="G9" s="204"/>
      <c r="H9" s="35" t="s">
        <v>9</v>
      </c>
      <c r="I9" s="35" t="s">
        <v>12</v>
      </c>
      <c r="J9" s="35" t="s">
        <v>3</v>
      </c>
      <c r="K9" s="36">
        <f>SUM(K10)</f>
        <v>1500</v>
      </c>
      <c r="L9" s="36">
        <f>SUM(L10)</f>
        <v>0</v>
      </c>
      <c r="M9" s="36">
        <f>SUM(M10)</f>
        <v>1500</v>
      </c>
      <c r="N9" s="30"/>
      <c r="O9" s="36">
        <f>SUM(O10)</f>
        <v>0</v>
      </c>
      <c r="P9" s="36">
        <f>SUM(P10)</f>
        <v>1500</v>
      </c>
      <c r="Q9" s="30"/>
      <c r="R9" s="36">
        <f>SUM(R10)</f>
        <v>413.59999999999997</v>
      </c>
      <c r="S9" s="36">
        <f>SUM(S10)</f>
        <v>1913.6</v>
      </c>
      <c r="T9" s="30" t="s">
        <v>377</v>
      </c>
      <c r="U9" s="57"/>
    </row>
    <row r="10" spans="1:21" ht="76.5" hidden="1" outlineLevel="1" x14ac:dyDescent="0.2">
      <c r="A10" s="33"/>
      <c r="B10" s="34"/>
      <c r="C10" s="43"/>
      <c r="D10" s="204" t="s">
        <v>47</v>
      </c>
      <c r="E10" s="204"/>
      <c r="F10" s="204"/>
      <c r="G10" s="204"/>
      <c r="H10" s="35" t="s">
        <v>9</v>
      </c>
      <c r="I10" s="35" t="s">
        <v>12</v>
      </c>
      <c r="J10" s="35" t="s">
        <v>9</v>
      </c>
      <c r="K10" s="36">
        <v>1500</v>
      </c>
      <c r="L10" s="36"/>
      <c r="M10" s="36">
        <f t="shared" ref="M10:M62" si="0">K10+L10</f>
        <v>1500</v>
      </c>
      <c r="N10" s="30"/>
      <c r="O10" s="36"/>
      <c r="P10" s="36">
        <f>M10+O10</f>
        <v>1500</v>
      </c>
      <c r="Q10" s="30"/>
      <c r="R10" s="36">
        <f>12.4-0.7+401.9</f>
        <v>413.59999999999997</v>
      </c>
      <c r="S10" s="36">
        <f>P10+R10</f>
        <v>1913.6</v>
      </c>
      <c r="T10" s="30" t="s">
        <v>357</v>
      </c>
    </row>
    <row r="11" spans="1:21" ht="65.25" customHeight="1" collapsed="1" x14ac:dyDescent="0.2">
      <c r="A11" s="33"/>
      <c r="B11" s="34"/>
      <c r="C11" s="204" t="s">
        <v>48</v>
      </c>
      <c r="D11" s="204"/>
      <c r="E11" s="204"/>
      <c r="F11" s="204"/>
      <c r="G11" s="204"/>
      <c r="H11" s="35" t="s">
        <v>9</v>
      </c>
      <c r="I11" s="35" t="s">
        <v>10</v>
      </c>
      <c r="J11" s="35" t="s">
        <v>3</v>
      </c>
      <c r="K11" s="36">
        <f>SUM(K12)</f>
        <v>400</v>
      </c>
      <c r="L11" s="36">
        <f t="shared" ref="L11:S11" si="1">SUM(L12)</f>
        <v>0</v>
      </c>
      <c r="M11" s="36">
        <f t="shared" si="1"/>
        <v>400</v>
      </c>
      <c r="N11" s="30"/>
      <c r="O11" s="36">
        <f t="shared" si="1"/>
        <v>-9.1999999999999993</v>
      </c>
      <c r="P11" s="36">
        <f t="shared" si="1"/>
        <v>390.8</v>
      </c>
      <c r="Q11" s="30" t="s">
        <v>205</v>
      </c>
      <c r="R11" s="36">
        <f t="shared" si="1"/>
        <v>-53.2</v>
      </c>
      <c r="S11" s="36">
        <f t="shared" si="1"/>
        <v>337.6</v>
      </c>
      <c r="T11" s="30" t="s">
        <v>359</v>
      </c>
    </row>
    <row r="12" spans="1:21" ht="54" hidden="1" customHeight="1" outlineLevel="1" x14ac:dyDescent="0.2">
      <c r="A12" s="33"/>
      <c r="B12" s="34"/>
      <c r="C12" s="43"/>
      <c r="D12" s="204" t="s">
        <v>49</v>
      </c>
      <c r="E12" s="204"/>
      <c r="F12" s="204"/>
      <c r="G12" s="204"/>
      <c r="H12" s="35" t="s">
        <v>9</v>
      </c>
      <c r="I12" s="35" t="s">
        <v>10</v>
      </c>
      <c r="J12" s="35" t="s">
        <v>9</v>
      </c>
      <c r="K12" s="36">
        <v>400</v>
      </c>
      <c r="L12" s="36"/>
      <c r="M12" s="36">
        <f t="shared" si="0"/>
        <v>400</v>
      </c>
      <c r="N12" s="30"/>
      <c r="O12" s="36">
        <v>-9.1999999999999993</v>
      </c>
      <c r="P12" s="36">
        <f>M12+O12</f>
        <v>390.8</v>
      </c>
      <c r="Q12" s="30" t="s">
        <v>205</v>
      </c>
      <c r="R12" s="36">
        <f>-63.2+10</f>
        <v>-53.2</v>
      </c>
      <c r="S12" s="36">
        <f>P12+R12</f>
        <v>337.6</v>
      </c>
      <c r="T12" s="30" t="s">
        <v>358</v>
      </c>
    </row>
    <row r="13" spans="1:21" ht="138" customHeight="1" collapsed="1" x14ac:dyDescent="0.2">
      <c r="A13" s="33"/>
      <c r="B13" s="34"/>
      <c r="C13" s="204" t="s">
        <v>50</v>
      </c>
      <c r="D13" s="204"/>
      <c r="E13" s="204"/>
      <c r="F13" s="204"/>
      <c r="G13" s="204"/>
      <c r="H13" s="35" t="s">
        <v>9</v>
      </c>
      <c r="I13" s="35" t="s">
        <v>24</v>
      </c>
      <c r="J13" s="35" t="s">
        <v>3</v>
      </c>
      <c r="K13" s="36">
        <f>SUM(K14:K15)</f>
        <v>33411.300000000003</v>
      </c>
      <c r="L13" s="36">
        <f>SUM(L14:L15)</f>
        <v>0</v>
      </c>
      <c r="M13" s="36">
        <f>SUM(M14:M15)</f>
        <v>33411.300000000003</v>
      </c>
      <c r="N13" s="30"/>
      <c r="O13" s="36">
        <f>SUM(O14:O15)</f>
        <v>-198.5</v>
      </c>
      <c r="P13" s="36">
        <f>SUM(P14:P15)</f>
        <v>33212.800000000003</v>
      </c>
      <c r="Q13" s="30" t="s">
        <v>258</v>
      </c>
      <c r="R13" s="36">
        <f>SUM(R14:R15)</f>
        <v>944.70000000000027</v>
      </c>
      <c r="S13" s="36">
        <f>SUM(S14:S15)</f>
        <v>34157.5</v>
      </c>
      <c r="T13" s="30" t="s">
        <v>361</v>
      </c>
    </row>
    <row r="14" spans="1:21" ht="126.75" hidden="1" customHeight="1" outlineLevel="1" x14ac:dyDescent="0.2">
      <c r="A14" s="33"/>
      <c r="B14" s="34"/>
      <c r="C14" s="34"/>
      <c r="D14" s="205" t="s">
        <v>51</v>
      </c>
      <c r="E14" s="205"/>
      <c r="F14" s="205"/>
      <c r="G14" s="205"/>
      <c r="H14" s="35" t="s">
        <v>9</v>
      </c>
      <c r="I14" s="35" t="s">
        <v>24</v>
      </c>
      <c r="J14" s="35" t="s">
        <v>9</v>
      </c>
      <c r="K14" s="36">
        <v>32411.3</v>
      </c>
      <c r="L14" s="36"/>
      <c r="M14" s="36">
        <f t="shared" si="0"/>
        <v>32411.3</v>
      </c>
      <c r="N14" s="30"/>
      <c r="O14" s="36">
        <f>82.3+9.2</f>
        <v>91.5</v>
      </c>
      <c r="P14" s="36">
        <f>M14+O14</f>
        <v>32502.799999999999</v>
      </c>
      <c r="Q14" s="30" t="s">
        <v>212</v>
      </c>
      <c r="R14" s="36">
        <f>12.1+1.8+61+1244.2-201.6</f>
        <v>1117.5000000000002</v>
      </c>
      <c r="S14" s="36">
        <f>P14+R14</f>
        <v>33620.300000000003</v>
      </c>
      <c r="T14" s="30" t="s">
        <v>362</v>
      </c>
    </row>
    <row r="15" spans="1:21" ht="37.5" hidden="1" customHeight="1" outlineLevel="1" x14ac:dyDescent="0.2">
      <c r="A15" s="33"/>
      <c r="B15" s="34"/>
      <c r="C15" s="34"/>
      <c r="D15" s="205" t="s">
        <v>52</v>
      </c>
      <c r="E15" s="205"/>
      <c r="F15" s="205"/>
      <c r="G15" s="205"/>
      <c r="H15" s="35" t="s">
        <v>9</v>
      </c>
      <c r="I15" s="35" t="s">
        <v>24</v>
      </c>
      <c r="J15" s="35" t="s">
        <v>8</v>
      </c>
      <c r="K15" s="36">
        <v>1000</v>
      </c>
      <c r="L15" s="36"/>
      <c r="M15" s="36">
        <f t="shared" si="0"/>
        <v>1000</v>
      </c>
      <c r="N15" s="30"/>
      <c r="O15" s="36">
        <f>-90-200</f>
        <v>-290</v>
      </c>
      <c r="P15" s="36">
        <f>M15+O15</f>
        <v>710</v>
      </c>
      <c r="Q15" s="30" t="s">
        <v>257</v>
      </c>
      <c r="R15" s="36">
        <f>-34.5-0.4-137-0.9</f>
        <v>-172.8</v>
      </c>
      <c r="S15" s="36">
        <f>P15+R15</f>
        <v>537.20000000000005</v>
      </c>
      <c r="T15" s="30" t="s">
        <v>360</v>
      </c>
    </row>
    <row r="16" spans="1:21" ht="42.75" customHeight="1" collapsed="1" x14ac:dyDescent="0.2">
      <c r="A16" s="33"/>
      <c r="B16" s="205" t="s">
        <v>53</v>
      </c>
      <c r="C16" s="205"/>
      <c r="D16" s="205"/>
      <c r="E16" s="205"/>
      <c r="F16" s="205"/>
      <c r="G16" s="205"/>
      <c r="H16" s="35" t="s">
        <v>8</v>
      </c>
      <c r="I16" s="35" t="s">
        <v>3</v>
      </c>
      <c r="J16" s="35" t="s">
        <v>3</v>
      </c>
      <c r="K16" s="36">
        <f>SUM(K17:K20)</f>
        <v>4346.1000000000004</v>
      </c>
      <c r="L16" s="36">
        <f>SUM(L17:L20)</f>
        <v>0</v>
      </c>
      <c r="M16" s="36">
        <f>SUM(M17:M20)</f>
        <v>4346.1000000000004</v>
      </c>
      <c r="N16" s="30"/>
      <c r="O16" s="36">
        <f>SUM(O17:O20)</f>
        <v>111.49999999999999</v>
      </c>
      <c r="P16" s="36">
        <f>SUM(P17:P20)</f>
        <v>4457.6000000000004</v>
      </c>
      <c r="Q16" s="30" t="s">
        <v>261</v>
      </c>
      <c r="R16" s="36">
        <f>SUM(R17:R20)</f>
        <v>-10.6</v>
      </c>
      <c r="S16" s="36">
        <f>SUM(S17:S20)</f>
        <v>4447</v>
      </c>
      <c r="T16" s="30" t="s">
        <v>317</v>
      </c>
    </row>
    <row r="17" spans="1:20" ht="30.75" hidden="1" customHeight="1" outlineLevel="1" x14ac:dyDescent="0.2">
      <c r="A17" s="33"/>
      <c r="B17" s="34"/>
      <c r="C17" s="34"/>
      <c r="D17" s="205" t="s">
        <v>54</v>
      </c>
      <c r="E17" s="205"/>
      <c r="F17" s="205"/>
      <c r="G17" s="205"/>
      <c r="H17" s="35" t="s">
        <v>8</v>
      </c>
      <c r="I17" s="35" t="s">
        <v>1</v>
      </c>
      <c r="J17" s="35" t="s">
        <v>9</v>
      </c>
      <c r="K17" s="36">
        <v>3316.1</v>
      </c>
      <c r="L17" s="36"/>
      <c r="M17" s="36">
        <f t="shared" si="0"/>
        <v>3316.1</v>
      </c>
      <c r="N17" s="30"/>
      <c r="O17" s="36">
        <f>123.1-2</f>
        <v>121.1</v>
      </c>
      <c r="P17" s="36">
        <f>M17+O17</f>
        <v>3437.2</v>
      </c>
      <c r="Q17" s="30" t="s">
        <v>259</v>
      </c>
      <c r="R17" s="36"/>
      <c r="S17" s="36">
        <f>P17+R17</f>
        <v>3437.2</v>
      </c>
      <c r="T17" s="30"/>
    </row>
    <row r="18" spans="1:20" ht="36" hidden="1" customHeight="1" outlineLevel="1" x14ac:dyDescent="0.2">
      <c r="A18" s="33"/>
      <c r="B18" s="34"/>
      <c r="C18" s="34"/>
      <c r="D18" s="205" t="s">
        <v>55</v>
      </c>
      <c r="E18" s="205"/>
      <c r="F18" s="205"/>
      <c r="G18" s="205"/>
      <c r="H18" s="35" t="s">
        <v>8</v>
      </c>
      <c r="I18" s="35" t="s">
        <v>1</v>
      </c>
      <c r="J18" s="35" t="s">
        <v>8</v>
      </c>
      <c r="K18" s="36">
        <v>0.5</v>
      </c>
      <c r="L18" s="36"/>
      <c r="M18" s="36">
        <f t="shared" si="0"/>
        <v>0.5</v>
      </c>
      <c r="N18" s="30"/>
      <c r="O18" s="36"/>
      <c r="P18" s="36">
        <f>M18+O18</f>
        <v>0.5</v>
      </c>
      <c r="Q18" s="30"/>
      <c r="R18" s="36"/>
      <c r="S18" s="36">
        <f>P18+R18</f>
        <v>0.5</v>
      </c>
      <c r="T18" s="30"/>
    </row>
    <row r="19" spans="1:20" ht="21.75" hidden="1" customHeight="1" outlineLevel="1" x14ac:dyDescent="0.2">
      <c r="A19" s="33"/>
      <c r="B19" s="34"/>
      <c r="C19" s="34"/>
      <c r="D19" s="205" t="s">
        <v>56</v>
      </c>
      <c r="E19" s="205"/>
      <c r="F19" s="205"/>
      <c r="G19" s="205"/>
      <c r="H19" s="35" t="s">
        <v>8</v>
      </c>
      <c r="I19" s="35" t="s">
        <v>1</v>
      </c>
      <c r="J19" s="35" t="s">
        <v>16</v>
      </c>
      <c r="K19" s="36">
        <v>1004.5</v>
      </c>
      <c r="L19" s="36"/>
      <c r="M19" s="36">
        <f t="shared" si="0"/>
        <v>1004.5</v>
      </c>
      <c r="N19" s="30"/>
      <c r="O19" s="36">
        <f>-9.1-0.3</f>
        <v>-9.4</v>
      </c>
      <c r="P19" s="36">
        <f>M19+O19</f>
        <v>995.1</v>
      </c>
      <c r="Q19" s="30" t="s">
        <v>260</v>
      </c>
      <c r="R19" s="36">
        <v>-10.6</v>
      </c>
      <c r="S19" s="36">
        <f>P19+R19</f>
        <v>984.5</v>
      </c>
      <c r="T19" s="30" t="s">
        <v>317</v>
      </c>
    </row>
    <row r="20" spans="1:20" ht="21.75" hidden="1" customHeight="1" outlineLevel="1" x14ac:dyDescent="0.2">
      <c r="A20" s="33"/>
      <c r="B20" s="34"/>
      <c r="C20" s="34"/>
      <c r="D20" s="205" t="s">
        <v>57</v>
      </c>
      <c r="E20" s="205"/>
      <c r="F20" s="205"/>
      <c r="G20" s="205"/>
      <c r="H20" s="35" t="s">
        <v>8</v>
      </c>
      <c r="I20" s="35" t="s">
        <v>1</v>
      </c>
      <c r="J20" s="35" t="s">
        <v>7</v>
      </c>
      <c r="K20" s="36">
        <v>25</v>
      </c>
      <c r="L20" s="36"/>
      <c r="M20" s="36">
        <f t="shared" si="0"/>
        <v>25</v>
      </c>
      <c r="N20" s="30"/>
      <c r="O20" s="36">
        <v>-0.2</v>
      </c>
      <c r="P20" s="36">
        <f>M20+O20</f>
        <v>24.8</v>
      </c>
      <c r="Q20" s="30" t="s">
        <v>219</v>
      </c>
      <c r="R20" s="36"/>
      <c r="S20" s="36">
        <f>P20+R20</f>
        <v>24.8</v>
      </c>
      <c r="T20" s="30"/>
    </row>
    <row r="21" spans="1:20" ht="47.25" customHeight="1" collapsed="1" x14ac:dyDescent="0.2">
      <c r="A21" s="33"/>
      <c r="B21" s="205" t="s">
        <v>58</v>
      </c>
      <c r="C21" s="205"/>
      <c r="D21" s="205"/>
      <c r="E21" s="205"/>
      <c r="F21" s="205"/>
      <c r="G21" s="205"/>
      <c r="H21" s="35" t="s">
        <v>16</v>
      </c>
      <c r="I21" s="35" t="s">
        <v>3</v>
      </c>
      <c r="J21" s="35" t="s">
        <v>3</v>
      </c>
      <c r="K21" s="36">
        <f>SUM(K22)</f>
        <v>1100</v>
      </c>
      <c r="L21" s="36">
        <f t="shared" ref="L21:S21" si="2">SUM(L22)</f>
        <v>0</v>
      </c>
      <c r="M21" s="36">
        <f t="shared" si="2"/>
        <v>1100</v>
      </c>
      <c r="N21" s="30"/>
      <c r="O21" s="36">
        <f t="shared" si="2"/>
        <v>6910.9</v>
      </c>
      <c r="P21" s="36">
        <f t="shared" si="2"/>
        <v>8010.9</v>
      </c>
      <c r="Q21" s="30" t="s">
        <v>220</v>
      </c>
      <c r="R21" s="36">
        <f t="shared" si="2"/>
        <v>0</v>
      </c>
      <c r="S21" s="36">
        <f t="shared" si="2"/>
        <v>8010.9</v>
      </c>
      <c r="T21" s="30"/>
    </row>
    <row r="22" spans="1:20" ht="31.5" hidden="1" customHeight="1" outlineLevel="1" x14ac:dyDescent="0.2">
      <c r="A22" s="33"/>
      <c r="B22" s="34"/>
      <c r="C22" s="34"/>
      <c r="D22" s="205" t="s">
        <v>59</v>
      </c>
      <c r="E22" s="205"/>
      <c r="F22" s="205"/>
      <c r="G22" s="205"/>
      <c r="H22" s="35" t="s">
        <v>16</v>
      </c>
      <c r="I22" s="35" t="s">
        <v>1</v>
      </c>
      <c r="J22" s="35" t="s">
        <v>9</v>
      </c>
      <c r="K22" s="36">
        <v>1100</v>
      </c>
      <c r="L22" s="36"/>
      <c r="M22" s="36">
        <f t="shared" si="0"/>
        <v>1100</v>
      </c>
      <c r="N22" s="30"/>
      <c r="O22" s="36">
        <f>7022.9-112</f>
        <v>6910.9</v>
      </c>
      <c r="P22" s="36">
        <f>M22+O22</f>
        <v>8010.9</v>
      </c>
      <c r="Q22" s="30" t="s">
        <v>220</v>
      </c>
      <c r="R22" s="36"/>
      <c r="S22" s="36">
        <f>P22+R22</f>
        <v>8010.9</v>
      </c>
      <c r="T22" s="30"/>
    </row>
    <row r="23" spans="1:20" ht="45.75" customHeight="1" collapsed="1" x14ac:dyDescent="0.2">
      <c r="A23" s="33"/>
      <c r="B23" s="205" t="s">
        <v>60</v>
      </c>
      <c r="C23" s="205"/>
      <c r="D23" s="205"/>
      <c r="E23" s="205"/>
      <c r="F23" s="205"/>
      <c r="G23" s="205"/>
      <c r="H23" s="35" t="s">
        <v>7</v>
      </c>
      <c r="I23" s="35" t="s">
        <v>3</v>
      </c>
      <c r="J23" s="35" t="s">
        <v>3</v>
      </c>
      <c r="K23" s="36">
        <f>SUM(K24)</f>
        <v>200</v>
      </c>
      <c r="L23" s="36">
        <f t="shared" ref="L23:S23" si="3">SUM(L24)</f>
        <v>0</v>
      </c>
      <c r="M23" s="36">
        <f t="shared" si="3"/>
        <v>200</v>
      </c>
      <c r="N23" s="30"/>
      <c r="O23" s="36">
        <f t="shared" si="3"/>
        <v>0</v>
      </c>
      <c r="P23" s="36">
        <f t="shared" si="3"/>
        <v>200</v>
      </c>
      <c r="Q23" s="30"/>
      <c r="R23" s="36">
        <f t="shared" si="3"/>
        <v>0</v>
      </c>
      <c r="S23" s="36">
        <f t="shared" si="3"/>
        <v>200</v>
      </c>
      <c r="T23" s="30"/>
    </row>
    <row r="24" spans="1:20" ht="26.25" hidden="1" customHeight="1" outlineLevel="1" x14ac:dyDescent="0.2">
      <c r="A24" s="33"/>
      <c r="B24" s="34"/>
      <c r="C24" s="34"/>
      <c r="D24" s="205" t="s">
        <v>61</v>
      </c>
      <c r="E24" s="205"/>
      <c r="F24" s="205"/>
      <c r="G24" s="205"/>
      <c r="H24" s="35" t="s">
        <v>7</v>
      </c>
      <c r="I24" s="35" t="s">
        <v>1</v>
      </c>
      <c r="J24" s="35" t="s">
        <v>9</v>
      </c>
      <c r="K24" s="36">
        <v>200</v>
      </c>
      <c r="L24" s="36"/>
      <c r="M24" s="36">
        <f t="shared" si="0"/>
        <v>200</v>
      </c>
      <c r="N24" s="30"/>
      <c r="O24" s="36"/>
      <c r="P24" s="36">
        <f>M24+O24</f>
        <v>200</v>
      </c>
      <c r="Q24" s="30"/>
      <c r="R24" s="36"/>
      <c r="S24" s="36">
        <f>P24+R24</f>
        <v>200</v>
      </c>
      <c r="T24" s="30"/>
    </row>
    <row r="25" spans="1:20" ht="46.5" customHeight="1" collapsed="1" x14ac:dyDescent="0.2">
      <c r="A25" s="33"/>
      <c r="B25" s="205" t="s">
        <v>62</v>
      </c>
      <c r="C25" s="205"/>
      <c r="D25" s="205"/>
      <c r="E25" s="205"/>
      <c r="F25" s="205"/>
      <c r="G25" s="205"/>
      <c r="H25" s="35" t="s">
        <v>6</v>
      </c>
      <c r="I25" s="35" t="s">
        <v>3</v>
      </c>
      <c r="J25" s="35" t="s">
        <v>3</v>
      </c>
      <c r="K25" s="36">
        <f>SUM(K26+K29)</f>
        <v>77465.5</v>
      </c>
      <c r="L25" s="36">
        <f>SUM(L26+L29)</f>
        <v>0</v>
      </c>
      <c r="M25" s="36">
        <f>SUM(M26+M29)</f>
        <v>77465.5</v>
      </c>
      <c r="N25" s="30"/>
      <c r="O25" s="36">
        <f>SUM(O26+O29)</f>
        <v>-2022.4</v>
      </c>
      <c r="P25" s="36">
        <f>SUM(P26+P29)</f>
        <v>75443.100000000006</v>
      </c>
      <c r="Q25" s="30"/>
      <c r="R25" s="36">
        <f>SUM(R26+R29)</f>
        <v>3218.7</v>
      </c>
      <c r="S25" s="36">
        <f>SUM(S26+S29)</f>
        <v>78661.8</v>
      </c>
      <c r="T25" s="30"/>
    </row>
    <row r="26" spans="1:20" ht="165.75" x14ac:dyDescent="0.2">
      <c r="A26" s="33"/>
      <c r="B26" s="43"/>
      <c r="C26" s="204" t="s">
        <v>63</v>
      </c>
      <c r="D26" s="204"/>
      <c r="E26" s="204"/>
      <c r="F26" s="204"/>
      <c r="G26" s="204"/>
      <c r="H26" s="35" t="s">
        <v>6</v>
      </c>
      <c r="I26" s="35" t="s">
        <v>12</v>
      </c>
      <c r="J26" s="35" t="s">
        <v>3</v>
      </c>
      <c r="K26" s="36">
        <f>SUM(K27:K28)</f>
        <v>73288.5</v>
      </c>
      <c r="L26" s="36">
        <f>SUM(L27:L28)</f>
        <v>0</v>
      </c>
      <c r="M26" s="36">
        <f>SUM(M27:M28)</f>
        <v>73288.5</v>
      </c>
      <c r="N26" s="30"/>
      <c r="O26" s="36">
        <f>SUM(O27:O28)</f>
        <v>-522.4</v>
      </c>
      <c r="P26" s="36">
        <f>SUM(P27:P28)</f>
        <v>72766.100000000006</v>
      </c>
      <c r="Q26" s="30" t="s">
        <v>221</v>
      </c>
      <c r="R26" s="36">
        <f>SUM(R27:R28)</f>
        <v>3218.7</v>
      </c>
      <c r="S26" s="36">
        <f>SUM(S27:S28)</f>
        <v>75984.800000000003</v>
      </c>
      <c r="T26" s="30" t="s">
        <v>369</v>
      </c>
    </row>
    <row r="27" spans="1:20" ht="25.5" hidden="1" outlineLevel="1" x14ac:dyDescent="0.2">
      <c r="A27" s="33"/>
      <c r="B27" s="43"/>
      <c r="C27" s="43"/>
      <c r="D27" s="204" t="s">
        <v>64</v>
      </c>
      <c r="E27" s="204"/>
      <c r="F27" s="204"/>
      <c r="G27" s="204"/>
      <c r="H27" s="35" t="s">
        <v>6</v>
      </c>
      <c r="I27" s="35" t="s">
        <v>12</v>
      </c>
      <c r="J27" s="35" t="s">
        <v>9</v>
      </c>
      <c r="K27" s="36">
        <v>30302.7</v>
      </c>
      <c r="L27" s="36"/>
      <c r="M27" s="36">
        <f t="shared" si="0"/>
        <v>30302.7</v>
      </c>
      <c r="N27" s="30"/>
      <c r="O27" s="36">
        <v>-351.5</v>
      </c>
      <c r="P27" s="36">
        <f>M27+O27</f>
        <v>29951.200000000001</v>
      </c>
      <c r="Q27" s="30" t="s">
        <v>222</v>
      </c>
      <c r="R27" s="36">
        <f>2457.6-100+567</f>
        <v>2924.6</v>
      </c>
      <c r="S27" s="36">
        <f>P27+R27</f>
        <v>32875.800000000003</v>
      </c>
      <c r="T27" s="31" t="s">
        <v>319</v>
      </c>
    </row>
    <row r="28" spans="1:20" ht="140.25" hidden="1" outlineLevel="1" x14ac:dyDescent="0.2">
      <c r="A28" s="33"/>
      <c r="B28" s="43"/>
      <c r="C28" s="43"/>
      <c r="D28" s="204" t="s">
        <v>65</v>
      </c>
      <c r="E28" s="204"/>
      <c r="F28" s="204"/>
      <c r="G28" s="204"/>
      <c r="H28" s="35" t="s">
        <v>6</v>
      </c>
      <c r="I28" s="35" t="s">
        <v>12</v>
      </c>
      <c r="J28" s="35" t="s">
        <v>8</v>
      </c>
      <c r="K28" s="36">
        <v>42985.8</v>
      </c>
      <c r="L28" s="36"/>
      <c r="M28" s="36">
        <f t="shared" si="0"/>
        <v>42985.8</v>
      </c>
      <c r="N28" s="30"/>
      <c r="O28" s="36">
        <v>-170.9</v>
      </c>
      <c r="P28" s="36">
        <f>M28+O28</f>
        <v>42814.9</v>
      </c>
      <c r="Q28" s="30" t="s">
        <v>223</v>
      </c>
      <c r="R28" s="36">
        <f>-78.7+39.2+333.6</f>
        <v>294.10000000000002</v>
      </c>
      <c r="S28" s="36">
        <f>P28+R28</f>
        <v>43109</v>
      </c>
      <c r="T28" s="30" t="s">
        <v>318</v>
      </c>
    </row>
    <row r="29" spans="1:20" ht="21.75" customHeight="1" collapsed="1" x14ac:dyDescent="0.2">
      <c r="A29" s="33"/>
      <c r="B29" s="43"/>
      <c r="C29" s="204" t="s">
        <v>66</v>
      </c>
      <c r="D29" s="204"/>
      <c r="E29" s="204"/>
      <c r="F29" s="204"/>
      <c r="G29" s="204"/>
      <c r="H29" s="35" t="s">
        <v>6</v>
      </c>
      <c r="I29" s="35" t="s">
        <v>10</v>
      </c>
      <c r="J29" s="35" t="s">
        <v>3</v>
      </c>
      <c r="K29" s="36">
        <v>4177</v>
      </c>
      <c r="L29" s="36"/>
      <c r="M29" s="36">
        <f t="shared" si="0"/>
        <v>4177</v>
      </c>
      <c r="N29" s="30"/>
      <c r="O29" s="36">
        <v>-1500</v>
      </c>
      <c r="P29" s="36">
        <f>M29+O29</f>
        <v>2677</v>
      </c>
      <c r="Q29" s="30" t="s">
        <v>262</v>
      </c>
      <c r="R29" s="36"/>
      <c r="S29" s="36">
        <f>P29+R29</f>
        <v>2677</v>
      </c>
      <c r="T29" s="30"/>
    </row>
    <row r="30" spans="1:20" ht="37.5" customHeight="1" x14ac:dyDescent="0.2">
      <c r="A30" s="33"/>
      <c r="B30" s="204" t="s">
        <v>67</v>
      </c>
      <c r="C30" s="204"/>
      <c r="D30" s="204"/>
      <c r="E30" s="204"/>
      <c r="F30" s="204"/>
      <c r="G30" s="204"/>
      <c r="H30" s="35" t="s">
        <v>5</v>
      </c>
      <c r="I30" s="35" t="s">
        <v>3</v>
      </c>
      <c r="J30" s="35" t="s">
        <v>3</v>
      </c>
      <c r="K30" s="36">
        <f>K31+K36+K39</f>
        <v>368178.9</v>
      </c>
      <c r="L30" s="36">
        <f>L31+L36+L39</f>
        <v>1647.1</v>
      </c>
      <c r="M30" s="36">
        <f>M31+M36+M39</f>
        <v>369826</v>
      </c>
      <c r="N30" s="30"/>
      <c r="O30" s="36">
        <f>O31+O36+O39</f>
        <v>12700.699999999999</v>
      </c>
      <c r="P30" s="36">
        <f>P31+P36+P39</f>
        <v>382526.7</v>
      </c>
      <c r="Q30" s="30"/>
      <c r="R30" s="36">
        <f>R31+R36+R39</f>
        <v>12654.300000000001</v>
      </c>
      <c r="S30" s="36">
        <f>S31+S36+S39</f>
        <v>395181</v>
      </c>
      <c r="T30" s="58"/>
    </row>
    <row r="31" spans="1:20" ht="150.75" customHeight="1" x14ac:dyDescent="0.2">
      <c r="A31" s="33"/>
      <c r="B31" s="43"/>
      <c r="C31" s="204" t="s">
        <v>68</v>
      </c>
      <c r="D31" s="204"/>
      <c r="E31" s="204"/>
      <c r="F31" s="204"/>
      <c r="G31" s="204"/>
      <c r="H31" s="35" t="s">
        <v>5</v>
      </c>
      <c r="I31" s="35" t="s">
        <v>12</v>
      </c>
      <c r="J31" s="35" t="s">
        <v>3</v>
      </c>
      <c r="K31" s="36">
        <f>SUM(K32:K35)</f>
        <v>9017.9</v>
      </c>
      <c r="L31" s="36">
        <f>SUM(L32:L35)</f>
        <v>1647.1</v>
      </c>
      <c r="M31" s="36">
        <f>SUM(M32:M35)</f>
        <v>10665</v>
      </c>
      <c r="N31" s="30" t="s">
        <v>193</v>
      </c>
      <c r="O31" s="36">
        <f>SUM(O32:O35)</f>
        <v>-1353.2</v>
      </c>
      <c r="P31" s="36">
        <f>SUM(P32:P35)</f>
        <v>9311.8000000000011</v>
      </c>
      <c r="Q31" s="30" t="s">
        <v>271</v>
      </c>
      <c r="R31" s="36">
        <f>SUM(R32:R35)</f>
        <v>1505.8999999999999</v>
      </c>
      <c r="S31" s="36">
        <f>SUM(S32:S35)</f>
        <v>10817.7</v>
      </c>
      <c r="T31" s="30" t="s">
        <v>370</v>
      </c>
    </row>
    <row r="32" spans="1:20" ht="29.25" hidden="1" customHeight="1" outlineLevel="1" x14ac:dyDescent="0.2">
      <c r="A32" s="33"/>
      <c r="B32" s="34"/>
      <c r="C32" s="34"/>
      <c r="D32" s="205" t="s">
        <v>69</v>
      </c>
      <c r="E32" s="205"/>
      <c r="F32" s="205"/>
      <c r="G32" s="205"/>
      <c r="H32" s="35" t="s">
        <v>5</v>
      </c>
      <c r="I32" s="35" t="s">
        <v>12</v>
      </c>
      <c r="J32" s="35" t="s">
        <v>9</v>
      </c>
      <c r="K32" s="36">
        <v>1289.5</v>
      </c>
      <c r="L32" s="36"/>
      <c r="M32" s="36">
        <f t="shared" si="0"/>
        <v>1289.5</v>
      </c>
      <c r="N32" s="30"/>
      <c r="O32" s="36"/>
      <c r="P32" s="36">
        <f>M32+O32</f>
        <v>1289.5</v>
      </c>
      <c r="Q32" s="30"/>
      <c r="R32" s="36">
        <v>22.2</v>
      </c>
      <c r="S32" s="36">
        <f>P32+R32</f>
        <v>1311.7</v>
      </c>
      <c r="T32" s="30" t="s">
        <v>314</v>
      </c>
    </row>
    <row r="33" spans="1:20" ht="19.5" hidden="1" customHeight="1" outlineLevel="1" x14ac:dyDescent="0.2">
      <c r="A33" s="33"/>
      <c r="B33" s="34"/>
      <c r="C33" s="34"/>
      <c r="D33" s="205" t="s">
        <v>70</v>
      </c>
      <c r="E33" s="205"/>
      <c r="F33" s="205"/>
      <c r="G33" s="205"/>
      <c r="H33" s="35" t="s">
        <v>5</v>
      </c>
      <c r="I33" s="35" t="s">
        <v>12</v>
      </c>
      <c r="J33" s="35" t="s">
        <v>8</v>
      </c>
      <c r="K33" s="36">
        <v>146.30000000000001</v>
      </c>
      <c r="L33" s="36"/>
      <c r="M33" s="36">
        <f t="shared" si="0"/>
        <v>146.30000000000001</v>
      </c>
      <c r="N33" s="30"/>
      <c r="O33" s="36">
        <f>4.8+50+130</f>
        <v>184.8</v>
      </c>
      <c r="P33" s="36">
        <f>M33+O33</f>
        <v>331.1</v>
      </c>
      <c r="Q33" s="30" t="s">
        <v>243</v>
      </c>
      <c r="R33" s="36"/>
      <c r="S33" s="36">
        <f>P33+R33</f>
        <v>331.1</v>
      </c>
      <c r="T33" s="30"/>
    </row>
    <row r="34" spans="1:20" ht="139.5" hidden="1" customHeight="1" outlineLevel="1" x14ac:dyDescent="0.2">
      <c r="A34" s="33"/>
      <c r="B34" s="34"/>
      <c r="C34" s="34"/>
      <c r="D34" s="205" t="s">
        <v>71</v>
      </c>
      <c r="E34" s="205"/>
      <c r="F34" s="205"/>
      <c r="G34" s="205"/>
      <c r="H34" s="35" t="s">
        <v>5</v>
      </c>
      <c r="I34" s="35" t="s">
        <v>12</v>
      </c>
      <c r="J34" s="35" t="s">
        <v>16</v>
      </c>
      <c r="K34" s="36">
        <v>7282.1</v>
      </c>
      <c r="L34" s="36">
        <f>647.1+1000</f>
        <v>1647.1</v>
      </c>
      <c r="M34" s="36">
        <f t="shared" si="0"/>
        <v>8929.2000000000007</v>
      </c>
      <c r="N34" s="30" t="s">
        <v>194</v>
      </c>
      <c r="O34" s="36">
        <f>246-240.9-194.5+247.7-80-270-1246.3</f>
        <v>-1538</v>
      </c>
      <c r="P34" s="36">
        <f>M34+O34</f>
        <v>7391.2000000000007</v>
      </c>
      <c r="Q34" s="30" t="s">
        <v>269</v>
      </c>
      <c r="R34" s="36">
        <f>1000+77.6+479.6-73.5</f>
        <v>1483.6999999999998</v>
      </c>
      <c r="S34" s="36">
        <f>P34+R34</f>
        <v>8874.9000000000015</v>
      </c>
      <c r="T34" s="30" t="s">
        <v>297</v>
      </c>
    </row>
    <row r="35" spans="1:20" ht="21.75" hidden="1" customHeight="1" outlineLevel="1" x14ac:dyDescent="0.2">
      <c r="A35" s="33"/>
      <c r="B35" s="34"/>
      <c r="C35" s="34"/>
      <c r="D35" s="205" t="s">
        <v>72</v>
      </c>
      <c r="E35" s="205"/>
      <c r="F35" s="205"/>
      <c r="G35" s="205"/>
      <c r="H35" s="35" t="s">
        <v>5</v>
      </c>
      <c r="I35" s="35" t="s">
        <v>12</v>
      </c>
      <c r="J35" s="35" t="s">
        <v>7</v>
      </c>
      <c r="K35" s="36">
        <v>300</v>
      </c>
      <c r="L35" s="36"/>
      <c r="M35" s="36">
        <f t="shared" si="0"/>
        <v>300</v>
      </c>
      <c r="N35" s="30"/>
      <c r="O35" s="36"/>
      <c r="P35" s="36">
        <f>M35+O35</f>
        <v>300</v>
      </c>
      <c r="Q35" s="30"/>
      <c r="R35" s="36"/>
      <c r="S35" s="36">
        <f>P35+R35</f>
        <v>300</v>
      </c>
      <c r="T35" s="30"/>
    </row>
    <row r="36" spans="1:20" ht="110.25" customHeight="1" collapsed="1" x14ac:dyDescent="0.2">
      <c r="A36" s="33"/>
      <c r="B36" s="34"/>
      <c r="C36" s="204" t="s">
        <v>73</v>
      </c>
      <c r="D36" s="204"/>
      <c r="E36" s="204"/>
      <c r="F36" s="204"/>
      <c r="G36" s="204"/>
      <c r="H36" s="35" t="s">
        <v>5</v>
      </c>
      <c r="I36" s="35" t="s">
        <v>10</v>
      </c>
      <c r="J36" s="35" t="s">
        <v>3</v>
      </c>
      <c r="K36" s="36">
        <f>SUM(K37:K38)</f>
        <v>6275</v>
      </c>
      <c r="L36" s="36">
        <f>SUM(L37:L38)</f>
        <v>0</v>
      </c>
      <c r="M36" s="36">
        <f>SUM(M37:M38)</f>
        <v>6275</v>
      </c>
      <c r="N36" s="30"/>
      <c r="O36" s="36">
        <f>SUM(O37:O38)</f>
        <v>151.10000000000008</v>
      </c>
      <c r="P36" s="36">
        <f>SUM(P37:P38)</f>
        <v>6426.1</v>
      </c>
      <c r="Q36" s="30" t="s">
        <v>287</v>
      </c>
      <c r="R36" s="36">
        <f>SUM(R37:R38)</f>
        <v>831.5</v>
      </c>
      <c r="S36" s="36">
        <f>SUM(S37:S38)</f>
        <v>7257.6</v>
      </c>
      <c r="T36" s="30" t="s">
        <v>365</v>
      </c>
    </row>
    <row r="37" spans="1:20" ht="45" hidden="1" customHeight="1" outlineLevel="1" x14ac:dyDescent="0.2">
      <c r="A37" s="33"/>
      <c r="B37" s="34"/>
      <c r="C37" s="43"/>
      <c r="D37" s="204" t="s">
        <v>74</v>
      </c>
      <c r="E37" s="204"/>
      <c r="F37" s="204"/>
      <c r="G37" s="204"/>
      <c r="H37" s="35" t="s">
        <v>5</v>
      </c>
      <c r="I37" s="35" t="s">
        <v>10</v>
      </c>
      <c r="J37" s="35" t="s">
        <v>9</v>
      </c>
      <c r="K37" s="36">
        <v>500</v>
      </c>
      <c r="L37" s="36"/>
      <c r="M37" s="36">
        <f t="shared" si="0"/>
        <v>500</v>
      </c>
      <c r="N37" s="30"/>
      <c r="O37" s="36">
        <v>-137.19999999999999</v>
      </c>
      <c r="P37" s="36">
        <f>M37+O37</f>
        <v>362.8</v>
      </c>
      <c r="Q37" s="30" t="s">
        <v>229</v>
      </c>
      <c r="R37" s="36"/>
      <c r="S37" s="36">
        <f>P37+R37</f>
        <v>362.8</v>
      </c>
      <c r="T37" s="30"/>
    </row>
    <row r="38" spans="1:20" ht="102.75" hidden="1" customHeight="1" outlineLevel="1" x14ac:dyDescent="0.2">
      <c r="A38" s="33"/>
      <c r="B38" s="34"/>
      <c r="C38" s="43"/>
      <c r="D38" s="204" t="s">
        <v>75</v>
      </c>
      <c r="E38" s="204"/>
      <c r="F38" s="204"/>
      <c r="G38" s="204"/>
      <c r="H38" s="35" t="s">
        <v>5</v>
      </c>
      <c r="I38" s="35" t="s">
        <v>10</v>
      </c>
      <c r="J38" s="35" t="s">
        <v>8</v>
      </c>
      <c r="K38" s="36">
        <v>5775</v>
      </c>
      <c r="L38" s="36"/>
      <c r="M38" s="36">
        <f t="shared" si="0"/>
        <v>5775</v>
      </c>
      <c r="N38" s="30"/>
      <c r="O38" s="36">
        <f>500+100+30+194.5-355.8+690-870.4</f>
        <v>288.30000000000007</v>
      </c>
      <c r="P38" s="36">
        <f>M38+O38</f>
        <v>6063.3</v>
      </c>
      <c r="Q38" s="30" t="s">
        <v>268</v>
      </c>
      <c r="R38" s="36">
        <f>38+73.5+270+450</f>
        <v>831.5</v>
      </c>
      <c r="S38" s="36">
        <f>P38+R38</f>
        <v>6894.8</v>
      </c>
      <c r="T38" s="30" t="s">
        <v>313</v>
      </c>
    </row>
    <row r="39" spans="1:20" ht="365.25" customHeight="1" collapsed="1" x14ac:dyDescent="0.2">
      <c r="A39" s="33"/>
      <c r="B39" s="34"/>
      <c r="C39" s="204" t="s">
        <v>76</v>
      </c>
      <c r="D39" s="204"/>
      <c r="E39" s="204"/>
      <c r="F39" s="204"/>
      <c r="G39" s="204"/>
      <c r="H39" s="35" t="s">
        <v>5</v>
      </c>
      <c r="I39" s="35" t="s">
        <v>24</v>
      </c>
      <c r="J39" s="35" t="s">
        <v>3</v>
      </c>
      <c r="K39" s="36">
        <f>SUM(K40:K41)</f>
        <v>352886</v>
      </c>
      <c r="L39" s="36">
        <f>SUM(L40:L41)</f>
        <v>0</v>
      </c>
      <c r="M39" s="36">
        <f>SUM(M40:M41)</f>
        <v>352886</v>
      </c>
      <c r="N39" s="30"/>
      <c r="O39" s="36">
        <f>SUM(O40:O41)</f>
        <v>13902.8</v>
      </c>
      <c r="P39" s="36">
        <f>SUM(P40:P41)</f>
        <v>366788.8</v>
      </c>
      <c r="Q39" s="30" t="s">
        <v>272</v>
      </c>
      <c r="R39" s="36">
        <f>SUM(R40:R41)</f>
        <v>10316.900000000001</v>
      </c>
      <c r="S39" s="36">
        <f>SUM(S40:S41)</f>
        <v>377105.7</v>
      </c>
      <c r="T39" s="30" t="s">
        <v>376</v>
      </c>
    </row>
    <row r="40" spans="1:20" ht="312.75" hidden="1" customHeight="1" outlineLevel="1" x14ac:dyDescent="0.2">
      <c r="A40" s="33"/>
      <c r="B40" s="34"/>
      <c r="C40" s="34"/>
      <c r="D40" s="205" t="s">
        <v>77</v>
      </c>
      <c r="E40" s="205"/>
      <c r="F40" s="205"/>
      <c r="G40" s="205"/>
      <c r="H40" s="35" t="s">
        <v>5</v>
      </c>
      <c r="I40" s="35" t="s">
        <v>24</v>
      </c>
      <c r="J40" s="35" t="s">
        <v>9</v>
      </c>
      <c r="K40" s="36">
        <v>351198.5</v>
      </c>
      <c r="L40" s="36"/>
      <c r="M40" s="36">
        <f t="shared" si="0"/>
        <v>351198.5</v>
      </c>
      <c r="N40" s="30"/>
      <c r="O40" s="36">
        <f>-34.8-130+9655.6-247.7+3956.4-50+803.3-50</f>
        <v>13902.8</v>
      </c>
      <c r="P40" s="36">
        <f>M40+O40</f>
        <v>365101.3</v>
      </c>
      <c r="Q40" s="30" t="s">
        <v>270</v>
      </c>
      <c r="R40" s="36">
        <f>-137.8-4060+26533+1957.6+866.9-16160.9+59.4+1258.7</f>
        <v>10316.900000000001</v>
      </c>
      <c r="S40" s="36">
        <f>P40+R40</f>
        <v>375418.2</v>
      </c>
      <c r="T40" s="30" t="s">
        <v>372</v>
      </c>
    </row>
    <row r="41" spans="1:20" ht="21.75" hidden="1" customHeight="1" outlineLevel="1" x14ac:dyDescent="0.2">
      <c r="A41" s="33"/>
      <c r="B41" s="34"/>
      <c r="C41" s="34"/>
      <c r="D41" s="205" t="s">
        <v>78</v>
      </c>
      <c r="E41" s="205"/>
      <c r="F41" s="205"/>
      <c r="G41" s="205"/>
      <c r="H41" s="35" t="s">
        <v>5</v>
      </c>
      <c r="I41" s="35" t="s">
        <v>24</v>
      </c>
      <c r="J41" s="35" t="s">
        <v>8</v>
      </c>
      <c r="K41" s="36">
        <v>1687.5</v>
      </c>
      <c r="L41" s="36"/>
      <c r="M41" s="36">
        <f t="shared" si="0"/>
        <v>1687.5</v>
      </c>
      <c r="N41" s="30"/>
      <c r="O41" s="36"/>
      <c r="P41" s="36">
        <f>M41+O41</f>
        <v>1687.5</v>
      </c>
      <c r="Q41" s="30"/>
      <c r="R41" s="36"/>
      <c r="S41" s="36">
        <f>P41+R41</f>
        <v>1687.5</v>
      </c>
      <c r="T41" s="30"/>
    </row>
    <row r="42" spans="1:20" ht="45.75" customHeight="1" collapsed="1" x14ac:dyDescent="0.2">
      <c r="A42" s="33"/>
      <c r="B42" s="204" t="s">
        <v>79</v>
      </c>
      <c r="C42" s="204"/>
      <c r="D42" s="204"/>
      <c r="E42" s="204"/>
      <c r="F42" s="204"/>
      <c r="G42" s="204"/>
      <c r="H42" s="35" t="s">
        <v>0</v>
      </c>
      <c r="I42" s="35" t="s">
        <v>3</v>
      </c>
      <c r="J42" s="35" t="s">
        <v>3</v>
      </c>
      <c r="K42" s="36">
        <f>SUM(K43)</f>
        <v>500</v>
      </c>
      <c r="L42" s="36">
        <f t="shared" ref="L42:S42" si="4">SUM(L43)</f>
        <v>0</v>
      </c>
      <c r="M42" s="36">
        <f t="shared" si="4"/>
        <v>500</v>
      </c>
      <c r="N42" s="30"/>
      <c r="O42" s="36">
        <f t="shared" si="4"/>
        <v>-50</v>
      </c>
      <c r="P42" s="36">
        <f t="shared" si="4"/>
        <v>450</v>
      </c>
      <c r="Q42" s="30" t="s">
        <v>224</v>
      </c>
      <c r="R42" s="36">
        <f t="shared" si="4"/>
        <v>0</v>
      </c>
      <c r="S42" s="36">
        <f t="shared" si="4"/>
        <v>450</v>
      </c>
      <c r="T42" s="30"/>
    </row>
    <row r="43" spans="1:20" ht="31.5" hidden="1" customHeight="1" outlineLevel="1" x14ac:dyDescent="0.2">
      <c r="A43" s="33"/>
      <c r="B43" s="43"/>
      <c r="C43" s="43"/>
      <c r="D43" s="204" t="s">
        <v>80</v>
      </c>
      <c r="E43" s="204"/>
      <c r="F43" s="204"/>
      <c r="G43" s="204"/>
      <c r="H43" s="35" t="s">
        <v>0</v>
      </c>
      <c r="I43" s="35" t="s">
        <v>1</v>
      </c>
      <c r="J43" s="35" t="s">
        <v>9</v>
      </c>
      <c r="K43" s="36">
        <v>500</v>
      </c>
      <c r="L43" s="36"/>
      <c r="M43" s="36">
        <f t="shared" si="0"/>
        <v>500</v>
      </c>
      <c r="N43" s="30"/>
      <c r="O43" s="36">
        <v>-50</v>
      </c>
      <c r="P43" s="36">
        <f>M43+O43</f>
        <v>450</v>
      </c>
      <c r="Q43" s="30" t="s">
        <v>224</v>
      </c>
      <c r="R43" s="36"/>
      <c r="S43" s="36">
        <f>P43+R43</f>
        <v>450</v>
      </c>
      <c r="T43" s="30"/>
    </row>
    <row r="44" spans="1:20" ht="91.5" customHeight="1" collapsed="1" x14ac:dyDescent="0.2">
      <c r="A44" s="33"/>
      <c r="B44" s="204" t="s">
        <v>81</v>
      </c>
      <c r="C44" s="204"/>
      <c r="D44" s="204"/>
      <c r="E44" s="204"/>
      <c r="F44" s="204"/>
      <c r="G44" s="204"/>
      <c r="H44" s="35" t="s">
        <v>31</v>
      </c>
      <c r="I44" s="35" t="s">
        <v>3</v>
      </c>
      <c r="J44" s="35" t="s">
        <v>3</v>
      </c>
      <c r="K44" s="36">
        <f>SUM(K45)</f>
        <v>18842.3</v>
      </c>
      <c r="L44" s="36">
        <f>SUM(L45)</f>
        <v>0</v>
      </c>
      <c r="M44" s="36">
        <f>SUM(M45)</f>
        <v>18842.3</v>
      </c>
      <c r="N44" s="30"/>
      <c r="O44" s="36">
        <f>SUM(O45:O46)</f>
        <v>-429.8</v>
      </c>
      <c r="P44" s="36">
        <f>SUM(P45:P46)</f>
        <v>18412.5</v>
      </c>
      <c r="Q44" s="30" t="s">
        <v>285</v>
      </c>
      <c r="R44" s="36">
        <f>SUM(R45:R46)</f>
        <v>119.30000000000001</v>
      </c>
      <c r="S44" s="36">
        <f>SUM(S45:S46)</f>
        <v>18531.8</v>
      </c>
      <c r="T44" s="30" t="s">
        <v>366</v>
      </c>
    </row>
    <row r="45" spans="1:20" ht="87" hidden="1" customHeight="1" outlineLevel="1" x14ac:dyDescent="0.2">
      <c r="A45" s="33"/>
      <c r="B45" s="43"/>
      <c r="C45" s="43"/>
      <c r="D45" s="204" t="s">
        <v>82</v>
      </c>
      <c r="E45" s="204"/>
      <c r="F45" s="204"/>
      <c r="G45" s="204"/>
      <c r="H45" s="35" t="s">
        <v>31</v>
      </c>
      <c r="I45" s="35" t="s">
        <v>1</v>
      </c>
      <c r="J45" s="35" t="s">
        <v>9</v>
      </c>
      <c r="K45" s="36">
        <v>18842.3</v>
      </c>
      <c r="L45" s="36"/>
      <c r="M45" s="36">
        <f t="shared" si="0"/>
        <v>18842.3</v>
      </c>
      <c r="N45" s="30"/>
      <c r="O45" s="36">
        <f>-429.8-17.9</f>
        <v>-447.7</v>
      </c>
      <c r="P45" s="36">
        <f>M45+O45</f>
        <v>18394.599999999999</v>
      </c>
      <c r="Q45" s="30" t="s">
        <v>247</v>
      </c>
      <c r="R45" s="36">
        <f>343-223.7</f>
        <v>119.30000000000001</v>
      </c>
      <c r="S45" s="36">
        <f>P45+R45</f>
        <v>18513.899999999998</v>
      </c>
      <c r="T45" s="30" t="s">
        <v>324</v>
      </c>
    </row>
    <row r="46" spans="1:20" ht="18.75" hidden="1" customHeight="1" outlineLevel="1" x14ac:dyDescent="0.2">
      <c r="A46" s="33"/>
      <c r="B46" s="43"/>
      <c r="C46" s="43"/>
      <c r="D46" s="43"/>
      <c r="E46" s="43"/>
      <c r="F46" s="43"/>
      <c r="G46" s="43" t="s">
        <v>245</v>
      </c>
      <c r="H46" s="59" t="s">
        <v>31</v>
      </c>
      <c r="I46" s="35">
        <v>0</v>
      </c>
      <c r="J46" s="59" t="s">
        <v>8</v>
      </c>
      <c r="K46" s="36">
        <v>0</v>
      </c>
      <c r="L46" s="36"/>
      <c r="M46" s="36">
        <v>0</v>
      </c>
      <c r="N46" s="30"/>
      <c r="O46" s="36">
        <v>17.899999999999999</v>
      </c>
      <c r="P46" s="36">
        <v>17.899999999999999</v>
      </c>
      <c r="Q46" s="30" t="s">
        <v>246</v>
      </c>
      <c r="R46" s="36"/>
      <c r="S46" s="36">
        <v>17.899999999999999</v>
      </c>
      <c r="T46" s="30"/>
    </row>
    <row r="47" spans="1:20" ht="60.75" customHeight="1" collapsed="1" x14ac:dyDescent="0.2">
      <c r="A47" s="33"/>
      <c r="B47" s="204" t="s">
        <v>83</v>
      </c>
      <c r="C47" s="204"/>
      <c r="D47" s="204"/>
      <c r="E47" s="204"/>
      <c r="F47" s="204"/>
      <c r="G47" s="204"/>
      <c r="H47" s="35" t="s">
        <v>30</v>
      </c>
      <c r="I47" s="35" t="s">
        <v>3</v>
      </c>
      <c r="J47" s="35" t="s">
        <v>3</v>
      </c>
      <c r="K47" s="36">
        <f>K48+K52</f>
        <v>330695</v>
      </c>
      <c r="L47" s="36">
        <f>L48+L52</f>
        <v>0</v>
      </c>
      <c r="M47" s="36">
        <f>M48+M52</f>
        <v>330695</v>
      </c>
      <c r="N47" s="30"/>
      <c r="O47" s="36">
        <f>O48+O52</f>
        <v>131509.30000000002</v>
      </c>
      <c r="P47" s="36">
        <f>P48+P52</f>
        <v>462204.3</v>
      </c>
      <c r="Q47" s="30"/>
      <c r="R47" s="36">
        <f>R48+R52</f>
        <v>14013.5</v>
      </c>
      <c r="S47" s="36">
        <f>S48+S52</f>
        <v>476217.8</v>
      </c>
      <c r="T47" s="30"/>
    </row>
    <row r="48" spans="1:20" ht="354.75" customHeight="1" x14ac:dyDescent="0.2">
      <c r="A48" s="33"/>
      <c r="B48" s="43"/>
      <c r="C48" s="204" t="s">
        <v>84</v>
      </c>
      <c r="D48" s="204"/>
      <c r="E48" s="204"/>
      <c r="F48" s="204"/>
      <c r="G48" s="204"/>
      <c r="H48" s="35" t="s">
        <v>30</v>
      </c>
      <c r="I48" s="35" t="s">
        <v>12</v>
      </c>
      <c r="J48" s="35" t="s">
        <v>3</v>
      </c>
      <c r="K48" s="36">
        <f>SUM(K49:K51)</f>
        <v>323033.8</v>
      </c>
      <c r="L48" s="36">
        <f>SUM(L49:L51)</f>
        <v>0</v>
      </c>
      <c r="M48" s="36">
        <f>SUM(M49:M51)</f>
        <v>323033.8</v>
      </c>
      <c r="N48" s="30"/>
      <c r="O48" s="36">
        <f>SUM(O49:O51)</f>
        <v>132413.6</v>
      </c>
      <c r="P48" s="36">
        <f>SUM(P49:P51)</f>
        <v>455447.39999999997</v>
      </c>
      <c r="Q48" s="30" t="s">
        <v>286</v>
      </c>
      <c r="R48" s="36">
        <f>SUM(R49:R51)</f>
        <v>14163.5</v>
      </c>
      <c r="S48" s="36">
        <f>SUM(S49:S51)</f>
        <v>469610.89999999997</v>
      </c>
      <c r="T48" s="30" t="s">
        <v>367</v>
      </c>
    </row>
    <row r="49" spans="1:20" ht="113.25" hidden="1" customHeight="1" outlineLevel="1" x14ac:dyDescent="0.2">
      <c r="A49" s="33"/>
      <c r="B49" s="34"/>
      <c r="C49" s="34"/>
      <c r="D49" s="205" t="s">
        <v>85</v>
      </c>
      <c r="E49" s="205"/>
      <c r="F49" s="205"/>
      <c r="G49" s="205"/>
      <c r="H49" s="35" t="s">
        <v>30</v>
      </c>
      <c r="I49" s="35" t="s">
        <v>12</v>
      </c>
      <c r="J49" s="35" t="s">
        <v>9</v>
      </c>
      <c r="K49" s="36">
        <v>167961.7</v>
      </c>
      <c r="L49" s="36"/>
      <c r="M49" s="36">
        <f t="shared" si="0"/>
        <v>167961.7</v>
      </c>
      <c r="N49" s="30"/>
      <c r="O49" s="36">
        <v>127895.9</v>
      </c>
      <c r="P49" s="36">
        <f>M49+O49</f>
        <v>295857.59999999998</v>
      </c>
      <c r="Q49" s="30" t="s">
        <v>284</v>
      </c>
      <c r="R49" s="36">
        <f>48.5+150+500+123.5-89</f>
        <v>733</v>
      </c>
      <c r="S49" s="36">
        <f>P49+R49</f>
        <v>296590.59999999998</v>
      </c>
      <c r="T49" s="30" t="s">
        <v>373</v>
      </c>
    </row>
    <row r="50" spans="1:20" ht="243" hidden="1" customHeight="1" outlineLevel="1" x14ac:dyDescent="0.2">
      <c r="A50" s="33"/>
      <c r="B50" s="34"/>
      <c r="C50" s="34"/>
      <c r="D50" s="205" t="s">
        <v>86</v>
      </c>
      <c r="E50" s="205"/>
      <c r="F50" s="205"/>
      <c r="G50" s="205"/>
      <c r="H50" s="35" t="s">
        <v>30</v>
      </c>
      <c r="I50" s="35" t="s">
        <v>12</v>
      </c>
      <c r="J50" s="35" t="s">
        <v>8</v>
      </c>
      <c r="K50" s="36">
        <v>136510.29999999999</v>
      </c>
      <c r="L50" s="36"/>
      <c r="M50" s="36">
        <f t="shared" si="0"/>
        <v>136510.29999999999</v>
      </c>
      <c r="N50" s="30"/>
      <c r="O50" s="36">
        <v>7517.7</v>
      </c>
      <c r="P50" s="36">
        <f>M50+O50</f>
        <v>144028</v>
      </c>
      <c r="Q50" s="30" t="s">
        <v>299</v>
      </c>
      <c r="R50" s="36">
        <f>3007.2-23.6+1600-48.5+6152.6+850.4+1892.4</f>
        <v>13430.5</v>
      </c>
      <c r="S50" s="36">
        <f>P50+R50</f>
        <v>157458.5</v>
      </c>
      <c r="T50" s="30" t="s">
        <v>355</v>
      </c>
    </row>
    <row r="51" spans="1:20" ht="21" hidden="1" customHeight="1" outlineLevel="1" x14ac:dyDescent="0.2">
      <c r="A51" s="33"/>
      <c r="B51" s="34"/>
      <c r="C51" s="34"/>
      <c r="D51" s="205" t="s">
        <v>78</v>
      </c>
      <c r="E51" s="205"/>
      <c r="F51" s="205"/>
      <c r="G51" s="205"/>
      <c r="H51" s="35" t="s">
        <v>30</v>
      </c>
      <c r="I51" s="35" t="s">
        <v>12</v>
      </c>
      <c r="J51" s="35" t="s">
        <v>16</v>
      </c>
      <c r="K51" s="36">
        <v>18561.8</v>
      </c>
      <c r="L51" s="36"/>
      <c r="M51" s="36">
        <f t="shared" si="0"/>
        <v>18561.8</v>
      </c>
      <c r="N51" s="30"/>
      <c r="O51" s="36">
        <v>-3000</v>
      </c>
      <c r="P51" s="36">
        <f>M51+O51</f>
        <v>15561.8</v>
      </c>
      <c r="Q51" s="30" t="s">
        <v>275</v>
      </c>
      <c r="R51" s="36"/>
      <c r="S51" s="36">
        <f>P51+R51</f>
        <v>15561.8</v>
      </c>
      <c r="T51" s="30"/>
    </row>
    <row r="52" spans="1:20" ht="33" customHeight="1" collapsed="1" x14ac:dyDescent="0.2">
      <c r="A52" s="33"/>
      <c r="B52" s="43"/>
      <c r="C52" s="204" t="s">
        <v>87</v>
      </c>
      <c r="D52" s="204"/>
      <c r="E52" s="204"/>
      <c r="F52" s="204"/>
      <c r="G52" s="204"/>
      <c r="H52" s="35" t="s">
        <v>30</v>
      </c>
      <c r="I52" s="35" t="s">
        <v>10</v>
      </c>
      <c r="J52" s="35" t="s">
        <v>3</v>
      </c>
      <c r="K52" s="36">
        <f>SUM(K53:K54)</f>
        <v>7661.2</v>
      </c>
      <c r="L52" s="36">
        <f>SUM(L53:L54)</f>
        <v>0</v>
      </c>
      <c r="M52" s="36">
        <f>SUM(M53:M54)</f>
        <v>7661.2</v>
      </c>
      <c r="N52" s="30"/>
      <c r="O52" s="36">
        <f>SUM(O53:O54)</f>
        <v>-904.3</v>
      </c>
      <c r="P52" s="36">
        <f>SUM(P53:P54)</f>
        <v>6756.9</v>
      </c>
      <c r="Q52" s="30" t="s">
        <v>300</v>
      </c>
      <c r="R52" s="36">
        <f>SUM(R53:R54)</f>
        <v>-150</v>
      </c>
      <c r="S52" s="36">
        <f>SUM(S53:S54)</f>
        <v>6606.9</v>
      </c>
      <c r="T52" s="30" t="s">
        <v>368</v>
      </c>
    </row>
    <row r="53" spans="1:20" ht="56.25" hidden="1" customHeight="1" outlineLevel="1" x14ac:dyDescent="0.2">
      <c r="A53" s="33"/>
      <c r="B53" s="43"/>
      <c r="C53" s="43"/>
      <c r="D53" s="204" t="s">
        <v>88</v>
      </c>
      <c r="E53" s="204"/>
      <c r="F53" s="204"/>
      <c r="G53" s="204"/>
      <c r="H53" s="35" t="s">
        <v>30</v>
      </c>
      <c r="I53" s="35" t="s">
        <v>10</v>
      </c>
      <c r="J53" s="35" t="s">
        <v>9</v>
      </c>
      <c r="K53" s="36">
        <v>6000</v>
      </c>
      <c r="L53" s="36"/>
      <c r="M53" s="36">
        <f t="shared" si="0"/>
        <v>6000</v>
      </c>
      <c r="N53" s="30"/>
      <c r="O53" s="36">
        <f>200-10-(1300)-255.3</f>
        <v>-1365.3</v>
      </c>
      <c r="P53" s="36">
        <f>M53+O53</f>
        <v>4634.7</v>
      </c>
      <c r="Q53" s="30" t="s">
        <v>301</v>
      </c>
      <c r="R53" s="36">
        <f>18.1</f>
        <v>18.100000000000001</v>
      </c>
      <c r="S53" s="36">
        <f>P53+R53</f>
        <v>4652.8</v>
      </c>
      <c r="T53" s="30" t="s">
        <v>311</v>
      </c>
    </row>
    <row r="54" spans="1:20" ht="47.25" hidden="1" customHeight="1" outlineLevel="1" x14ac:dyDescent="0.2">
      <c r="A54" s="33"/>
      <c r="B54" s="43"/>
      <c r="C54" s="43"/>
      <c r="D54" s="204" t="s">
        <v>44</v>
      </c>
      <c r="E54" s="204"/>
      <c r="F54" s="204"/>
      <c r="G54" s="204"/>
      <c r="H54" s="35" t="s">
        <v>30</v>
      </c>
      <c r="I54" s="35" t="s">
        <v>10</v>
      </c>
      <c r="J54" s="35" t="s">
        <v>16</v>
      </c>
      <c r="K54" s="36">
        <v>1661.2</v>
      </c>
      <c r="L54" s="36"/>
      <c r="M54" s="36">
        <f t="shared" si="0"/>
        <v>1661.2</v>
      </c>
      <c r="N54" s="30"/>
      <c r="O54" s="36">
        <f>129+332</f>
        <v>461</v>
      </c>
      <c r="P54" s="36">
        <f>M54+O54</f>
        <v>2122.1999999999998</v>
      </c>
      <c r="Q54" s="30" t="s">
        <v>204</v>
      </c>
      <c r="R54" s="36">
        <f>-168.1</f>
        <v>-168.1</v>
      </c>
      <c r="S54" s="36">
        <f>P54+R54</f>
        <v>1954.1</v>
      </c>
      <c r="T54" s="30" t="s">
        <v>312</v>
      </c>
    </row>
    <row r="55" spans="1:20" ht="98.25" customHeight="1" collapsed="1" x14ac:dyDescent="0.2">
      <c r="A55" s="33"/>
      <c r="B55" s="204" t="s">
        <v>39</v>
      </c>
      <c r="C55" s="204"/>
      <c r="D55" s="204"/>
      <c r="E55" s="204"/>
      <c r="F55" s="204"/>
      <c r="G55" s="204"/>
      <c r="H55" s="35" t="s">
        <v>29</v>
      </c>
      <c r="I55" s="35" t="s">
        <v>3</v>
      </c>
      <c r="J55" s="35" t="s">
        <v>3</v>
      </c>
      <c r="K55" s="36">
        <f>SUM(K56:K59)</f>
        <v>61164.299999999996</v>
      </c>
      <c r="L55" s="36">
        <f>SUM(L56:L59)</f>
        <v>-3087.4</v>
      </c>
      <c r="M55" s="36">
        <f>SUM(M56:M59)</f>
        <v>58076.899999999994</v>
      </c>
      <c r="N55" s="30" t="s">
        <v>201</v>
      </c>
      <c r="O55" s="36">
        <f>SUM(O56:O59)</f>
        <v>-5905.8</v>
      </c>
      <c r="P55" s="36">
        <f>SUM(P56:P59)</f>
        <v>52171.1</v>
      </c>
      <c r="Q55" s="30" t="s">
        <v>244</v>
      </c>
      <c r="R55" s="36">
        <f>SUM(R56:R59)</f>
        <v>181.60000000000002</v>
      </c>
      <c r="S55" s="36">
        <f>SUM(S56:S59)</f>
        <v>52352.700000000004</v>
      </c>
      <c r="T55" s="30" t="s">
        <v>323</v>
      </c>
    </row>
    <row r="56" spans="1:20" ht="51" hidden="1" outlineLevel="1" x14ac:dyDescent="0.2">
      <c r="A56" s="33"/>
      <c r="B56" s="43"/>
      <c r="C56" s="43"/>
      <c r="D56" s="204" t="s">
        <v>40</v>
      </c>
      <c r="E56" s="204"/>
      <c r="F56" s="204"/>
      <c r="G56" s="204"/>
      <c r="H56" s="35" t="s">
        <v>29</v>
      </c>
      <c r="I56" s="35" t="s">
        <v>1</v>
      </c>
      <c r="J56" s="35" t="s">
        <v>9</v>
      </c>
      <c r="K56" s="36">
        <v>41007.199999999997</v>
      </c>
      <c r="L56" s="36"/>
      <c r="M56" s="36">
        <f t="shared" si="0"/>
        <v>41007.199999999997</v>
      </c>
      <c r="N56" s="30"/>
      <c r="O56" s="36">
        <v>-244.2</v>
      </c>
      <c r="P56" s="36">
        <f>M56+O56</f>
        <v>40763</v>
      </c>
      <c r="Q56" s="30" t="s">
        <v>225</v>
      </c>
      <c r="R56" s="36">
        <f>-200+156.8</f>
        <v>-43.199999999999989</v>
      </c>
      <c r="S56" s="36">
        <f>P56+R56</f>
        <v>40719.800000000003</v>
      </c>
      <c r="T56" s="30" t="s">
        <v>321</v>
      </c>
    </row>
    <row r="57" spans="1:20" ht="33.75" hidden="1" customHeight="1" outlineLevel="1" x14ac:dyDescent="0.2">
      <c r="A57" s="33"/>
      <c r="B57" s="43"/>
      <c r="C57" s="43"/>
      <c r="D57" s="204" t="s">
        <v>41</v>
      </c>
      <c r="E57" s="204"/>
      <c r="F57" s="204"/>
      <c r="G57" s="204"/>
      <c r="H57" s="35" t="s">
        <v>29</v>
      </c>
      <c r="I57" s="35" t="s">
        <v>1</v>
      </c>
      <c r="J57" s="35" t="s">
        <v>8</v>
      </c>
      <c r="K57" s="36">
        <v>8400</v>
      </c>
      <c r="L57" s="36">
        <v>-115</v>
      </c>
      <c r="M57" s="36">
        <f t="shared" si="0"/>
        <v>8285</v>
      </c>
      <c r="N57" s="30" t="s">
        <v>200</v>
      </c>
      <c r="O57" s="36">
        <f>500+1637</f>
        <v>2137</v>
      </c>
      <c r="P57" s="36">
        <f>M57+O57</f>
        <v>10422</v>
      </c>
      <c r="Q57" s="30" t="s">
        <v>213</v>
      </c>
      <c r="R57" s="36">
        <f>-0.5</f>
        <v>-0.5</v>
      </c>
      <c r="S57" s="36">
        <f>P57+R57</f>
        <v>10421.5</v>
      </c>
      <c r="T57" s="30" t="s">
        <v>320</v>
      </c>
    </row>
    <row r="58" spans="1:20" ht="25.5" hidden="1" customHeight="1" outlineLevel="1" x14ac:dyDescent="0.2">
      <c r="A58" s="33"/>
      <c r="B58" s="43"/>
      <c r="C58" s="43"/>
      <c r="D58" s="204" t="s">
        <v>42</v>
      </c>
      <c r="E58" s="204"/>
      <c r="F58" s="204"/>
      <c r="G58" s="204"/>
      <c r="H58" s="35" t="s">
        <v>29</v>
      </c>
      <c r="I58" s="35" t="s">
        <v>1</v>
      </c>
      <c r="J58" s="35" t="s">
        <v>16</v>
      </c>
      <c r="K58" s="36">
        <v>3948.4</v>
      </c>
      <c r="L58" s="36">
        <f>-3300+327.6</f>
        <v>-2972.4</v>
      </c>
      <c r="M58" s="36">
        <f t="shared" si="0"/>
        <v>976</v>
      </c>
      <c r="N58" s="30" t="s">
        <v>171</v>
      </c>
      <c r="O58" s="36">
        <v>-178.8</v>
      </c>
      <c r="P58" s="36">
        <f>M58+O58</f>
        <v>797.2</v>
      </c>
      <c r="Q58" s="30" t="s">
        <v>226</v>
      </c>
      <c r="R58" s="36">
        <f>225.3</f>
        <v>225.3</v>
      </c>
      <c r="S58" s="36">
        <f>P58+R58</f>
        <v>1022.5</v>
      </c>
      <c r="T58" s="30" t="s">
        <v>322</v>
      </c>
    </row>
    <row r="59" spans="1:20" ht="26.25" hidden="1" customHeight="1" outlineLevel="1" x14ac:dyDescent="0.2">
      <c r="A59" s="33"/>
      <c r="B59" s="43"/>
      <c r="C59" s="43"/>
      <c r="D59" s="204" t="s">
        <v>43</v>
      </c>
      <c r="E59" s="204"/>
      <c r="F59" s="204"/>
      <c r="G59" s="204"/>
      <c r="H59" s="35" t="s">
        <v>29</v>
      </c>
      <c r="I59" s="35" t="s">
        <v>1</v>
      </c>
      <c r="J59" s="35" t="s">
        <v>6</v>
      </c>
      <c r="K59" s="36">
        <v>7808.7</v>
      </c>
      <c r="L59" s="36"/>
      <c r="M59" s="36">
        <f t="shared" si="0"/>
        <v>7808.7</v>
      </c>
      <c r="N59" s="30"/>
      <c r="O59" s="36">
        <f>-7600-19.8</f>
        <v>-7619.8</v>
      </c>
      <c r="P59" s="36">
        <f>M59+O59</f>
        <v>188.89999999999964</v>
      </c>
      <c r="Q59" s="30" t="s">
        <v>227</v>
      </c>
      <c r="R59" s="36"/>
      <c r="S59" s="36">
        <f>P59+R59</f>
        <v>188.89999999999964</v>
      </c>
      <c r="T59" s="30"/>
    </row>
    <row r="60" spans="1:20" ht="42" customHeight="1" collapsed="1" x14ac:dyDescent="0.2">
      <c r="A60" s="33"/>
      <c r="B60" s="204" t="s">
        <v>89</v>
      </c>
      <c r="C60" s="204"/>
      <c r="D60" s="204"/>
      <c r="E60" s="204"/>
      <c r="F60" s="204"/>
      <c r="G60" s="204"/>
      <c r="H60" s="35" t="s">
        <v>28</v>
      </c>
      <c r="I60" s="35" t="s">
        <v>3</v>
      </c>
      <c r="J60" s="35" t="s">
        <v>3</v>
      </c>
      <c r="K60" s="36">
        <f>K61+K63+K66+K69</f>
        <v>261373.4</v>
      </c>
      <c r="L60" s="36">
        <f>L61+L63+L66+L69</f>
        <v>27751.7</v>
      </c>
      <c r="M60" s="36">
        <f>M61+M63+M66+M69</f>
        <v>289125.09999999998</v>
      </c>
      <c r="N60" s="30"/>
      <c r="O60" s="36">
        <f>O61+O63+O66+O69+0.1</f>
        <v>-61278.299999999996</v>
      </c>
      <c r="P60" s="36">
        <f>P61+P63+P66+P69</f>
        <v>227846.8</v>
      </c>
      <c r="Q60" s="30"/>
      <c r="R60" s="36">
        <f>R61+R63+R66+R69</f>
        <v>249514</v>
      </c>
      <c r="S60" s="36">
        <f>S61+S63+S66+S69</f>
        <v>477360.7</v>
      </c>
      <c r="T60" s="30"/>
    </row>
    <row r="61" spans="1:20" ht="34.5" customHeight="1" x14ac:dyDescent="0.2">
      <c r="A61" s="33"/>
      <c r="B61" s="43"/>
      <c r="C61" s="204" t="s">
        <v>90</v>
      </c>
      <c r="D61" s="204"/>
      <c r="E61" s="204"/>
      <c r="F61" s="204"/>
      <c r="G61" s="204"/>
      <c r="H61" s="35" t="s">
        <v>28</v>
      </c>
      <c r="I61" s="35" t="s">
        <v>12</v>
      </c>
      <c r="J61" s="35" t="s">
        <v>3</v>
      </c>
      <c r="K61" s="36">
        <f>SUM(K62)</f>
        <v>1181.2</v>
      </c>
      <c r="L61" s="36">
        <f t="shared" ref="L61:S61" si="5">SUM(L62)</f>
        <v>0</v>
      </c>
      <c r="M61" s="36">
        <f t="shared" si="5"/>
        <v>1181.2</v>
      </c>
      <c r="N61" s="30"/>
      <c r="O61" s="36">
        <f t="shared" si="5"/>
        <v>-330.5</v>
      </c>
      <c r="P61" s="36">
        <f t="shared" si="5"/>
        <v>850.80000000000007</v>
      </c>
      <c r="Q61" s="30" t="s">
        <v>206</v>
      </c>
      <c r="R61" s="36">
        <f t="shared" si="5"/>
        <v>-18.399999999999999</v>
      </c>
      <c r="S61" s="36">
        <f t="shared" si="5"/>
        <v>832.30000000000007</v>
      </c>
      <c r="T61" s="30" t="s">
        <v>325</v>
      </c>
    </row>
    <row r="62" spans="1:20" ht="25.5" hidden="1" customHeight="1" outlineLevel="1" x14ac:dyDescent="0.2">
      <c r="A62" s="33"/>
      <c r="B62" s="43"/>
      <c r="C62" s="43"/>
      <c r="D62" s="204" t="s">
        <v>91</v>
      </c>
      <c r="E62" s="204"/>
      <c r="F62" s="204"/>
      <c r="G62" s="204"/>
      <c r="H62" s="35" t="s">
        <v>28</v>
      </c>
      <c r="I62" s="35" t="s">
        <v>12</v>
      </c>
      <c r="J62" s="35" t="s">
        <v>9</v>
      </c>
      <c r="K62" s="36">
        <v>1181.2</v>
      </c>
      <c r="L62" s="36"/>
      <c r="M62" s="36">
        <f t="shared" si="0"/>
        <v>1181.2</v>
      </c>
      <c r="N62" s="30"/>
      <c r="O62" s="36">
        <v>-330.5</v>
      </c>
      <c r="P62" s="36">
        <f>M62+O62+0.1</f>
        <v>850.80000000000007</v>
      </c>
      <c r="Q62" s="30" t="s">
        <v>206</v>
      </c>
      <c r="R62" s="36">
        <f>-18.4</f>
        <v>-18.399999999999999</v>
      </c>
      <c r="S62" s="36">
        <f>P62+R62-0.1</f>
        <v>832.30000000000007</v>
      </c>
      <c r="T62" s="30" t="s">
        <v>325</v>
      </c>
    </row>
    <row r="63" spans="1:20" ht="209.25" customHeight="1" collapsed="1" x14ac:dyDescent="0.2">
      <c r="A63" s="33"/>
      <c r="B63" s="43"/>
      <c r="C63" s="204" t="s">
        <v>92</v>
      </c>
      <c r="D63" s="204"/>
      <c r="E63" s="204"/>
      <c r="F63" s="204"/>
      <c r="G63" s="204"/>
      <c r="H63" s="35" t="s">
        <v>28</v>
      </c>
      <c r="I63" s="35" t="s">
        <v>10</v>
      </c>
      <c r="J63" s="35" t="s">
        <v>3</v>
      </c>
      <c r="K63" s="36">
        <f>SUM(K64:K65)</f>
        <v>28166.2</v>
      </c>
      <c r="L63" s="36">
        <f>SUM(L64:L65)</f>
        <v>0</v>
      </c>
      <c r="M63" s="36">
        <f>SUM(M64:M65)</f>
        <v>28166.2</v>
      </c>
      <c r="N63" s="30"/>
      <c r="O63" s="36">
        <f>SUM(O64:O65)</f>
        <v>-2168.2000000000003</v>
      </c>
      <c r="P63" s="36">
        <f>SUM(P64:P65)</f>
        <v>25998</v>
      </c>
      <c r="Q63" s="30" t="s">
        <v>256</v>
      </c>
      <c r="R63" s="36">
        <f>SUM(R64:R65)</f>
        <v>9819.3000000000011</v>
      </c>
      <c r="S63" s="36">
        <f>SUM(S64:S65)</f>
        <v>35817.300000000003</v>
      </c>
      <c r="T63" s="30" t="s">
        <v>378</v>
      </c>
    </row>
    <row r="64" spans="1:20" ht="165.75" hidden="1" outlineLevel="1" x14ac:dyDescent="0.2">
      <c r="A64" s="33"/>
      <c r="B64" s="43"/>
      <c r="C64" s="43"/>
      <c r="D64" s="204" t="s">
        <v>93</v>
      </c>
      <c r="E64" s="204"/>
      <c r="F64" s="204"/>
      <c r="G64" s="204"/>
      <c r="H64" s="35" t="s">
        <v>28</v>
      </c>
      <c r="I64" s="35" t="s">
        <v>10</v>
      </c>
      <c r="J64" s="35" t="s">
        <v>9</v>
      </c>
      <c r="K64" s="36">
        <v>28149.8</v>
      </c>
      <c r="L64" s="36"/>
      <c r="M64" s="36">
        <f t="shared" ref="M64:M108" si="6">K64+L64</f>
        <v>28149.8</v>
      </c>
      <c r="N64" s="30"/>
      <c r="O64" s="36">
        <f>-7032.8+1693.7+7032.8-3861.9</f>
        <v>-2168.2000000000003</v>
      </c>
      <c r="P64" s="36">
        <f>M64+O64</f>
        <v>25981.599999999999</v>
      </c>
      <c r="Q64" s="30" t="s">
        <v>214</v>
      </c>
      <c r="R64" s="36">
        <f>5081.1+1693.7+840.3+1078+936+191.7</f>
        <v>9820.8000000000011</v>
      </c>
      <c r="S64" s="36">
        <f>P64+R64</f>
        <v>35802.400000000001</v>
      </c>
      <c r="T64" s="30" t="s">
        <v>326</v>
      </c>
    </row>
    <row r="65" spans="1:20" ht="66.75" hidden="1" customHeight="1" outlineLevel="1" x14ac:dyDescent="0.2">
      <c r="A65" s="33"/>
      <c r="B65" s="43"/>
      <c r="C65" s="43"/>
      <c r="D65" s="204" t="s">
        <v>94</v>
      </c>
      <c r="E65" s="204"/>
      <c r="F65" s="204"/>
      <c r="G65" s="204"/>
      <c r="H65" s="35" t="s">
        <v>28</v>
      </c>
      <c r="I65" s="35" t="s">
        <v>10</v>
      </c>
      <c r="J65" s="35" t="s">
        <v>8</v>
      </c>
      <c r="K65" s="36">
        <v>16.399999999999999</v>
      </c>
      <c r="L65" s="36"/>
      <c r="M65" s="36">
        <f t="shared" si="6"/>
        <v>16.399999999999999</v>
      </c>
      <c r="N65" s="30"/>
      <c r="O65" s="36"/>
      <c r="P65" s="36">
        <f>M65+O65</f>
        <v>16.399999999999999</v>
      </c>
      <c r="Q65" s="30"/>
      <c r="R65" s="36">
        <v>-1.5</v>
      </c>
      <c r="S65" s="36">
        <f>P65+R65</f>
        <v>14.899999999999999</v>
      </c>
      <c r="T65" s="32" t="s">
        <v>296</v>
      </c>
    </row>
    <row r="66" spans="1:20" ht="128.25" customHeight="1" collapsed="1" x14ac:dyDescent="0.2">
      <c r="A66" s="33"/>
      <c r="B66" s="43"/>
      <c r="C66" s="204" t="s">
        <v>95</v>
      </c>
      <c r="D66" s="204"/>
      <c r="E66" s="204"/>
      <c r="F66" s="204"/>
      <c r="G66" s="204"/>
      <c r="H66" s="35" t="s">
        <v>28</v>
      </c>
      <c r="I66" s="35" t="s">
        <v>13</v>
      </c>
      <c r="J66" s="35" t="s">
        <v>3</v>
      </c>
      <c r="K66" s="36">
        <f>SUM(K67:K68)</f>
        <v>186565.5</v>
      </c>
      <c r="L66" s="36">
        <f>SUM(L67:L68)</f>
        <v>115</v>
      </c>
      <c r="M66" s="36">
        <f>SUM(M67:M68)</f>
        <v>186680.5</v>
      </c>
      <c r="N66" s="30" t="s">
        <v>179</v>
      </c>
      <c r="O66" s="36">
        <f>SUM(O67:O68)</f>
        <v>-32009.1</v>
      </c>
      <c r="P66" s="36">
        <f>SUM(P67:P68)</f>
        <v>154671.4</v>
      </c>
      <c r="Q66" s="30" t="s">
        <v>279</v>
      </c>
      <c r="R66" s="36">
        <f>SUM(R67:R68)</f>
        <v>127506</v>
      </c>
      <c r="S66" s="36">
        <f>SUM(S67:S68)</f>
        <v>282177.40000000002</v>
      </c>
      <c r="T66" s="30" t="s">
        <v>379</v>
      </c>
    </row>
    <row r="67" spans="1:20" ht="60.75" hidden="1" customHeight="1" outlineLevel="1" x14ac:dyDescent="0.2">
      <c r="A67" s="33"/>
      <c r="B67" s="34"/>
      <c r="C67" s="34"/>
      <c r="D67" s="34"/>
      <c r="E67" s="34"/>
      <c r="F67" s="34"/>
      <c r="G67" s="34" t="s">
        <v>178</v>
      </c>
      <c r="H67" s="35">
        <v>11</v>
      </c>
      <c r="I67" s="35">
        <v>3</v>
      </c>
      <c r="J67" s="59" t="s">
        <v>9</v>
      </c>
      <c r="K67" s="36">
        <v>0</v>
      </c>
      <c r="L67" s="36">
        <v>115</v>
      </c>
      <c r="M67" s="36">
        <f t="shared" si="6"/>
        <v>115</v>
      </c>
      <c r="N67" s="30" t="s">
        <v>179</v>
      </c>
      <c r="O67" s="36">
        <f>15581.2+7923+1004.2</f>
        <v>24508.400000000001</v>
      </c>
      <c r="P67" s="36">
        <f>M67+O67</f>
        <v>24623.4</v>
      </c>
      <c r="Q67" s="30" t="s">
        <v>278</v>
      </c>
      <c r="R67" s="36">
        <f>18.4+152.5+127299.8</f>
        <v>127470.7</v>
      </c>
      <c r="S67" s="36">
        <f>P67+R67</f>
        <v>152094.1</v>
      </c>
      <c r="T67" s="30" t="s">
        <v>327</v>
      </c>
    </row>
    <row r="68" spans="1:20" ht="42.75" hidden="1" customHeight="1" outlineLevel="1" x14ac:dyDescent="0.2">
      <c r="A68" s="33"/>
      <c r="B68" s="34"/>
      <c r="C68" s="34"/>
      <c r="D68" s="205" t="s">
        <v>96</v>
      </c>
      <c r="E68" s="205"/>
      <c r="F68" s="205"/>
      <c r="G68" s="205"/>
      <c r="H68" s="35" t="s">
        <v>28</v>
      </c>
      <c r="I68" s="35" t="s">
        <v>13</v>
      </c>
      <c r="J68" s="35" t="s">
        <v>8</v>
      </c>
      <c r="K68" s="36">
        <v>186565.5</v>
      </c>
      <c r="L68" s="36"/>
      <c r="M68" s="36">
        <f t="shared" si="6"/>
        <v>186565.5</v>
      </c>
      <c r="N68" s="30"/>
      <c r="O68" s="36">
        <f>-46988.6+119.3-14159.2+4511</f>
        <v>-56517.5</v>
      </c>
      <c r="P68" s="36">
        <f>M68+O68</f>
        <v>130048</v>
      </c>
      <c r="Q68" s="30" t="s">
        <v>215</v>
      </c>
      <c r="R68" s="36">
        <v>35.299999999999997</v>
      </c>
      <c r="S68" s="36">
        <f>P68+R68</f>
        <v>130083.3</v>
      </c>
      <c r="T68" s="30" t="s">
        <v>328</v>
      </c>
    </row>
    <row r="69" spans="1:20" ht="109.5" customHeight="1" collapsed="1" x14ac:dyDescent="0.2">
      <c r="A69" s="33"/>
      <c r="B69" s="43"/>
      <c r="C69" s="204" t="s">
        <v>97</v>
      </c>
      <c r="D69" s="204"/>
      <c r="E69" s="204"/>
      <c r="F69" s="204"/>
      <c r="G69" s="204"/>
      <c r="H69" s="35" t="s">
        <v>28</v>
      </c>
      <c r="I69" s="35" t="s">
        <v>27</v>
      </c>
      <c r="J69" s="35" t="s">
        <v>3</v>
      </c>
      <c r="K69" s="36">
        <f>SUM(K70)</f>
        <v>45460.5</v>
      </c>
      <c r="L69" s="36">
        <f t="shared" ref="L69:S69" si="7">SUM(L70)</f>
        <v>27636.7</v>
      </c>
      <c r="M69" s="36">
        <f t="shared" si="7"/>
        <v>73097.2</v>
      </c>
      <c r="N69" s="30" t="s">
        <v>177</v>
      </c>
      <c r="O69" s="36">
        <f t="shared" si="7"/>
        <v>-26770.6</v>
      </c>
      <c r="P69" s="36">
        <f t="shared" si="7"/>
        <v>46326.6</v>
      </c>
      <c r="Q69" s="30" t="s">
        <v>216</v>
      </c>
      <c r="R69" s="36">
        <f t="shared" si="7"/>
        <v>112207.1</v>
      </c>
      <c r="S69" s="36">
        <f t="shared" si="7"/>
        <v>158533.70000000001</v>
      </c>
      <c r="T69" s="30" t="s">
        <v>329</v>
      </c>
    </row>
    <row r="70" spans="1:20" ht="18.75" hidden="1" customHeight="1" outlineLevel="1" x14ac:dyDescent="0.2">
      <c r="A70" s="33"/>
      <c r="B70" s="43"/>
      <c r="C70" s="43"/>
      <c r="D70" s="204" t="s">
        <v>98</v>
      </c>
      <c r="E70" s="204"/>
      <c r="F70" s="204"/>
      <c r="G70" s="204"/>
      <c r="H70" s="35" t="s">
        <v>28</v>
      </c>
      <c r="I70" s="35" t="s">
        <v>27</v>
      </c>
      <c r="J70" s="35" t="s">
        <v>9</v>
      </c>
      <c r="K70" s="36">
        <v>45460.5</v>
      </c>
      <c r="L70" s="36">
        <f>20000+3200+3300+1136.7</f>
        <v>27636.7</v>
      </c>
      <c r="M70" s="36">
        <f t="shared" si="6"/>
        <v>73097.2</v>
      </c>
      <c r="N70" s="30" t="s">
        <v>177</v>
      </c>
      <c r="O70" s="36">
        <f>-28936.7-2800+1748.9+516+216.2+1961+524</f>
        <v>-26770.6</v>
      </c>
      <c r="P70" s="36">
        <f>M70+O70</f>
        <v>46326.6</v>
      </c>
      <c r="Q70" s="30" t="s">
        <v>216</v>
      </c>
      <c r="R70" s="36">
        <f>100000+12359.6-152.5</f>
        <v>112207.1</v>
      </c>
      <c r="S70" s="36">
        <f>P70+R70</f>
        <v>158533.70000000001</v>
      </c>
      <c r="T70" s="30" t="s">
        <v>329</v>
      </c>
    </row>
    <row r="71" spans="1:20" ht="88.5" customHeight="1" collapsed="1" x14ac:dyDescent="0.2">
      <c r="A71" s="33"/>
      <c r="B71" s="204" t="s">
        <v>99</v>
      </c>
      <c r="C71" s="204"/>
      <c r="D71" s="204"/>
      <c r="E71" s="204"/>
      <c r="F71" s="204"/>
      <c r="G71" s="204"/>
      <c r="H71" s="35" t="s">
        <v>26</v>
      </c>
      <c r="I71" s="35" t="s">
        <v>3</v>
      </c>
      <c r="J71" s="35" t="s">
        <v>3</v>
      </c>
      <c r="K71" s="36">
        <f>SUM(K72:K74)</f>
        <v>29939</v>
      </c>
      <c r="L71" s="36">
        <f>SUM(L72:L74)</f>
        <v>0</v>
      </c>
      <c r="M71" s="36">
        <f>SUM(M72:M74)</f>
        <v>29939</v>
      </c>
      <c r="N71" s="30"/>
      <c r="O71" s="36">
        <f>SUM(O72:O74)</f>
        <v>284.5</v>
      </c>
      <c r="P71" s="36">
        <f>SUM(P72:P74)</f>
        <v>30223.5</v>
      </c>
      <c r="Q71" s="30" t="s">
        <v>281</v>
      </c>
      <c r="R71" s="36">
        <f>SUM(R72:R74)</f>
        <v>2065.4</v>
      </c>
      <c r="S71" s="36">
        <f>SUM(S72:S74)</f>
        <v>32288.9</v>
      </c>
      <c r="T71" s="30" t="s">
        <v>354</v>
      </c>
    </row>
    <row r="72" spans="1:20" ht="43.5" hidden="1" customHeight="1" outlineLevel="1" x14ac:dyDescent="0.2">
      <c r="A72" s="33"/>
      <c r="B72" s="43"/>
      <c r="C72" s="43"/>
      <c r="D72" s="204" t="s">
        <v>100</v>
      </c>
      <c r="E72" s="204"/>
      <c r="F72" s="204"/>
      <c r="G72" s="204"/>
      <c r="H72" s="35" t="s">
        <v>26</v>
      </c>
      <c r="I72" s="35" t="s">
        <v>1</v>
      </c>
      <c r="J72" s="35" t="s">
        <v>9</v>
      </c>
      <c r="K72" s="36">
        <v>5300</v>
      </c>
      <c r="L72" s="36"/>
      <c r="M72" s="36">
        <f t="shared" si="6"/>
        <v>5300</v>
      </c>
      <c r="N72" s="30"/>
      <c r="O72" s="36">
        <v>-414.5</v>
      </c>
      <c r="P72" s="36">
        <f>M72+O72</f>
        <v>4885.5</v>
      </c>
      <c r="Q72" s="30" t="s">
        <v>302</v>
      </c>
      <c r="R72" s="36"/>
      <c r="S72" s="36">
        <f>P72+R72</f>
        <v>4885.5</v>
      </c>
      <c r="T72" s="30"/>
    </row>
    <row r="73" spans="1:20" ht="80.25" hidden="1" customHeight="1" outlineLevel="1" x14ac:dyDescent="0.2">
      <c r="A73" s="33"/>
      <c r="B73" s="43"/>
      <c r="C73" s="43"/>
      <c r="D73" s="204" t="s">
        <v>101</v>
      </c>
      <c r="E73" s="204"/>
      <c r="F73" s="204"/>
      <c r="G73" s="204"/>
      <c r="H73" s="35" t="s">
        <v>26</v>
      </c>
      <c r="I73" s="35" t="s">
        <v>1</v>
      </c>
      <c r="J73" s="35" t="s">
        <v>8</v>
      </c>
      <c r="K73" s="36">
        <v>22118.9</v>
      </c>
      <c r="L73" s="36"/>
      <c r="M73" s="36">
        <f t="shared" si="6"/>
        <v>22118.9</v>
      </c>
      <c r="N73" s="30"/>
      <c r="O73" s="36">
        <f>600+99</f>
        <v>699</v>
      </c>
      <c r="P73" s="36">
        <f>M73+O73</f>
        <v>22817.9</v>
      </c>
      <c r="Q73" s="30" t="s">
        <v>303</v>
      </c>
      <c r="R73" s="36">
        <f>1765.4+300</f>
        <v>2065.4</v>
      </c>
      <c r="S73" s="36">
        <f>P73+R73</f>
        <v>24883.300000000003</v>
      </c>
      <c r="T73" s="30" t="s">
        <v>374</v>
      </c>
    </row>
    <row r="74" spans="1:20" ht="28.5" hidden="1" customHeight="1" outlineLevel="1" x14ac:dyDescent="0.2">
      <c r="A74" s="33"/>
      <c r="B74" s="43"/>
      <c r="C74" s="43"/>
      <c r="D74" s="204" t="s">
        <v>102</v>
      </c>
      <c r="E74" s="204"/>
      <c r="F74" s="204"/>
      <c r="G74" s="204"/>
      <c r="H74" s="35" t="s">
        <v>26</v>
      </c>
      <c r="I74" s="35" t="s">
        <v>1</v>
      </c>
      <c r="J74" s="35" t="s">
        <v>16</v>
      </c>
      <c r="K74" s="36">
        <v>2520.1</v>
      </c>
      <c r="L74" s="36"/>
      <c r="M74" s="36">
        <f t="shared" si="6"/>
        <v>2520.1</v>
      </c>
      <c r="N74" s="30"/>
      <c r="O74" s="36"/>
      <c r="P74" s="36">
        <f>M74+O74</f>
        <v>2520.1</v>
      </c>
      <c r="Q74" s="30"/>
      <c r="R74" s="36"/>
      <c r="S74" s="36">
        <f>P74+R74</f>
        <v>2520.1</v>
      </c>
      <c r="T74" s="30"/>
    </row>
    <row r="75" spans="1:20" ht="48" customHeight="1" collapsed="1" x14ac:dyDescent="0.2">
      <c r="A75" s="33"/>
      <c r="B75" s="204" t="s">
        <v>103</v>
      </c>
      <c r="C75" s="204"/>
      <c r="D75" s="204"/>
      <c r="E75" s="204"/>
      <c r="F75" s="204"/>
      <c r="G75" s="204"/>
      <c r="H75" s="35" t="s">
        <v>25</v>
      </c>
      <c r="I75" s="35" t="s">
        <v>3</v>
      </c>
      <c r="J75" s="35" t="s">
        <v>3</v>
      </c>
      <c r="K75" s="36">
        <f>K76+K79+K81</f>
        <v>211393.09999999998</v>
      </c>
      <c r="L75" s="36">
        <f>L76+L79+L81</f>
        <v>-17506.8</v>
      </c>
      <c r="M75" s="36">
        <f>M76+M79+M81</f>
        <v>193886.3</v>
      </c>
      <c r="N75" s="30"/>
      <c r="O75" s="36">
        <f>O76+O79+O81</f>
        <v>35314.300000000003</v>
      </c>
      <c r="P75" s="36">
        <f>P76+P79+P81</f>
        <v>229200.6</v>
      </c>
      <c r="Q75" s="30"/>
      <c r="R75" s="36">
        <f>R76+R79+R81</f>
        <v>29765.7</v>
      </c>
      <c r="S75" s="36">
        <f>S76+S79+S81</f>
        <v>258966.3</v>
      </c>
      <c r="T75" s="30"/>
    </row>
    <row r="76" spans="1:20" ht="87.75" customHeight="1" x14ac:dyDescent="0.2">
      <c r="A76" s="33"/>
      <c r="B76" s="43"/>
      <c r="C76" s="204" t="s">
        <v>104</v>
      </c>
      <c r="D76" s="204"/>
      <c r="E76" s="204"/>
      <c r="F76" s="204"/>
      <c r="G76" s="204"/>
      <c r="H76" s="35" t="s">
        <v>25</v>
      </c>
      <c r="I76" s="35" t="s">
        <v>12</v>
      </c>
      <c r="J76" s="35" t="s">
        <v>3</v>
      </c>
      <c r="K76" s="36">
        <f>SUM(K77:K78)</f>
        <v>110643.4</v>
      </c>
      <c r="L76" s="36">
        <f>SUM(L77:L78)</f>
        <v>-17506.8</v>
      </c>
      <c r="M76" s="36">
        <f>SUM(M77:M78)</f>
        <v>93136.599999999991</v>
      </c>
      <c r="N76" s="30" t="s">
        <v>183</v>
      </c>
      <c r="O76" s="36">
        <f>SUM(O77:O78)</f>
        <v>25961</v>
      </c>
      <c r="P76" s="36">
        <f>SUM(P77:P78)</f>
        <v>119097.60000000001</v>
      </c>
      <c r="Q76" s="30" t="s">
        <v>255</v>
      </c>
      <c r="R76" s="36">
        <f>SUM(R77:R78)</f>
        <v>-234.3</v>
      </c>
      <c r="S76" s="36">
        <f>SUM(S77:S78)</f>
        <v>118863.3</v>
      </c>
      <c r="T76" s="30" t="s">
        <v>332</v>
      </c>
    </row>
    <row r="77" spans="1:20" ht="39" hidden="1" customHeight="1" outlineLevel="1" x14ac:dyDescent="0.2">
      <c r="A77" s="33"/>
      <c r="B77" s="43"/>
      <c r="C77" s="43"/>
      <c r="D77" s="204" t="s">
        <v>105</v>
      </c>
      <c r="E77" s="204"/>
      <c r="F77" s="204"/>
      <c r="G77" s="204"/>
      <c r="H77" s="35" t="s">
        <v>25</v>
      </c>
      <c r="I77" s="35" t="s">
        <v>12</v>
      </c>
      <c r="J77" s="35" t="s">
        <v>9</v>
      </c>
      <c r="K77" s="36">
        <v>103143.4</v>
      </c>
      <c r="L77" s="36">
        <f>-21300+3622.3</f>
        <v>-17677.7</v>
      </c>
      <c r="M77" s="36">
        <f t="shared" si="6"/>
        <v>85465.7</v>
      </c>
      <c r="N77" s="30" t="s">
        <v>185</v>
      </c>
      <c r="O77" s="36">
        <f>15307.8-8500-4386.9-850.4+16769.2+7744.5+805.7-510</f>
        <v>26379.9</v>
      </c>
      <c r="P77" s="36">
        <f>M77+O77</f>
        <v>111845.6</v>
      </c>
      <c r="Q77" s="30" t="s">
        <v>254</v>
      </c>
      <c r="R77" s="36">
        <f>-164.8</f>
        <v>-164.8</v>
      </c>
      <c r="S77" s="36">
        <f>P77+R77</f>
        <v>111680.8</v>
      </c>
      <c r="T77" s="30" t="s">
        <v>330</v>
      </c>
    </row>
    <row r="78" spans="1:20" ht="32.25" hidden="1" customHeight="1" outlineLevel="1" x14ac:dyDescent="0.2">
      <c r="A78" s="33"/>
      <c r="B78" s="43"/>
      <c r="C78" s="43"/>
      <c r="D78" s="204" t="s">
        <v>106</v>
      </c>
      <c r="E78" s="204"/>
      <c r="F78" s="204"/>
      <c r="G78" s="204"/>
      <c r="H78" s="35" t="s">
        <v>25</v>
      </c>
      <c r="I78" s="35" t="s">
        <v>12</v>
      </c>
      <c r="J78" s="35" t="s">
        <v>8</v>
      </c>
      <c r="K78" s="36">
        <v>7500</v>
      </c>
      <c r="L78" s="36">
        <v>170.9</v>
      </c>
      <c r="M78" s="36">
        <f t="shared" si="6"/>
        <v>7670.9</v>
      </c>
      <c r="N78" s="30" t="s">
        <v>184</v>
      </c>
      <c r="O78" s="36">
        <v>-418.9</v>
      </c>
      <c r="P78" s="36">
        <f>M78+O78</f>
        <v>7252</v>
      </c>
      <c r="Q78" s="30" t="s">
        <v>253</v>
      </c>
      <c r="R78" s="36">
        <f>-69.5</f>
        <v>-69.5</v>
      </c>
      <c r="S78" s="36">
        <f>P78+R78</f>
        <v>7182.5</v>
      </c>
      <c r="T78" s="30" t="s">
        <v>331</v>
      </c>
    </row>
    <row r="79" spans="1:20" ht="59.25" customHeight="1" collapsed="1" x14ac:dyDescent="0.2">
      <c r="A79" s="33"/>
      <c r="B79" s="43"/>
      <c r="C79" s="204" t="s">
        <v>107</v>
      </c>
      <c r="D79" s="204"/>
      <c r="E79" s="204"/>
      <c r="F79" s="204"/>
      <c r="G79" s="204"/>
      <c r="H79" s="35" t="s">
        <v>25</v>
      </c>
      <c r="I79" s="35" t="s">
        <v>10</v>
      </c>
      <c r="J79" s="35" t="s">
        <v>3</v>
      </c>
      <c r="K79" s="36">
        <f>SUM(K80)</f>
        <v>96749.7</v>
      </c>
      <c r="L79" s="36">
        <f t="shared" ref="L79:S79" si="8">SUM(L80)</f>
        <v>0</v>
      </c>
      <c r="M79" s="36">
        <f t="shared" si="8"/>
        <v>96749.7</v>
      </c>
      <c r="N79" s="30"/>
      <c r="O79" s="36">
        <f t="shared" si="8"/>
        <v>10673.3</v>
      </c>
      <c r="P79" s="36">
        <f t="shared" si="8"/>
        <v>107423</v>
      </c>
      <c r="Q79" s="30" t="s">
        <v>207</v>
      </c>
      <c r="R79" s="36">
        <f t="shared" si="8"/>
        <v>30000</v>
      </c>
      <c r="S79" s="36">
        <f t="shared" si="8"/>
        <v>137423</v>
      </c>
      <c r="T79" s="30" t="s">
        <v>333</v>
      </c>
    </row>
    <row r="80" spans="1:20" ht="51" hidden="1" outlineLevel="1" x14ac:dyDescent="0.2">
      <c r="A80" s="33"/>
      <c r="B80" s="34"/>
      <c r="C80" s="34"/>
      <c r="D80" s="205" t="s">
        <v>108</v>
      </c>
      <c r="E80" s="205"/>
      <c r="F80" s="205"/>
      <c r="G80" s="205"/>
      <c r="H80" s="35" t="s">
        <v>25</v>
      </c>
      <c r="I80" s="35" t="s">
        <v>10</v>
      </c>
      <c r="J80" s="35" t="s">
        <v>9</v>
      </c>
      <c r="K80" s="36">
        <v>96749.7</v>
      </c>
      <c r="L80" s="36"/>
      <c r="M80" s="36">
        <f t="shared" si="6"/>
        <v>96749.7</v>
      </c>
      <c r="N80" s="30"/>
      <c r="O80" s="36">
        <v>10673.3</v>
      </c>
      <c r="P80" s="36">
        <f>M80+O80</f>
        <v>107423</v>
      </c>
      <c r="Q80" s="30" t="s">
        <v>207</v>
      </c>
      <c r="R80" s="36">
        <v>30000</v>
      </c>
      <c r="S80" s="36">
        <f>P80+R80</f>
        <v>137423</v>
      </c>
      <c r="T80" s="30" t="s">
        <v>334</v>
      </c>
    </row>
    <row r="81" spans="1:20" ht="38.25" customHeight="1" collapsed="1" x14ac:dyDescent="0.2">
      <c r="A81" s="33"/>
      <c r="B81" s="34"/>
      <c r="C81" s="205" t="s">
        <v>110</v>
      </c>
      <c r="D81" s="205"/>
      <c r="E81" s="205"/>
      <c r="F81" s="205"/>
      <c r="G81" s="205"/>
      <c r="H81" s="35" t="s">
        <v>25</v>
      </c>
      <c r="I81" s="35" t="s">
        <v>13</v>
      </c>
      <c r="J81" s="35" t="s">
        <v>3</v>
      </c>
      <c r="K81" s="36">
        <f>SUM(K82)</f>
        <v>4000</v>
      </c>
      <c r="L81" s="36">
        <f t="shared" ref="L81:S81" si="9">SUM(L82)</f>
        <v>0</v>
      </c>
      <c r="M81" s="36">
        <f t="shared" si="9"/>
        <v>4000</v>
      </c>
      <c r="N81" s="30"/>
      <c r="O81" s="36">
        <f t="shared" si="9"/>
        <v>-1320</v>
      </c>
      <c r="P81" s="36">
        <f t="shared" si="9"/>
        <v>2680</v>
      </c>
      <c r="Q81" s="30" t="s">
        <v>228</v>
      </c>
      <c r="R81" s="36">
        <f t="shared" si="9"/>
        <v>0</v>
      </c>
      <c r="S81" s="36">
        <f t="shared" si="9"/>
        <v>2680</v>
      </c>
      <c r="T81" s="30"/>
    </row>
    <row r="82" spans="1:20" ht="33.75" hidden="1" customHeight="1" outlineLevel="1" x14ac:dyDescent="0.2">
      <c r="A82" s="33"/>
      <c r="B82" s="34"/>
      <c r="C82" s="34"/>
      <c r="D82" s="205" t="s">
        <v>109</v>
      </c>
      <c r="E82" s="205"/>
      <c r="F82" s="205"/>
      <c r="G82" s="205"/>
      <c r="H82" s="35" t="s">
        <v>25</v>
      </c>
      <c r="I82" s="35" t="s">
        <v>13</v>
      </c>
      <c r="J82" s="35" t="s">
        <v>9</v>
      </c>
      <c r="K82" s="36">
        <v>4000</v>
      </c>
      <c r="L82" s="36"/>
      <c r="M82" s="36">
        <f t="shared" si="6"/>
        <v>4000</v>
      </c>
      <c r="N82" s="30"/>
      <c r="O82" s="36">
        <v>-1320</v>
      </c>
      <c r="P82" s="36">
        <f>M82+O82</f>
        <v>2680</v>
      </c>
      <c r="Q82" s="30" t="s">
        <v>228</v>
      </c>
      <c r="R82" s="36"/>
      <c r="S82" s="36">
        <f>P82+R82</f>
        <v>2680</v>
      </c>
      <c r="T82" s="30"/>
    </row>
    <row r="83" spans="1:20" ht="64.5" customHeight="1" collapsed="1" x14ac:dyDescent="0.2">
      <c r="A83" s="33"/>
      <c r="B83" s="204" t="s">
        <v>111</v>
      </c>
      <c r="C83" s="204"/>
      <c r="D83" s="204"/>
      <c r="E83" s="204"/>
      <c r="F83" s="204"/>
      <c r="G83" s="204"/>
      <c r="H83" s="35" t="s">
        <v>23</v>
      </c>
      <c r="I83" s="35" t="s">
        <v>3</v>
      </c>
      <c r="J83" s="35" t="s">
        <v>3</v>
      </c>
      <c r="K83" s="36">
        <f>K84+K89+K94+K96+K98</f>
        <v>85514.799999999988</v>
      </c>
      <c r="L83" s="36">
        <f>L84+L89+L94+L96+L98</f>
        <v>8763.2000000000007</v>
      </c>
      <c r="M83" s="36">
        <f>M84+M89+M94+M96+M98</f>
        <v>94277.999999999985</v>
      </c>
      <c r="N83" s="30"/>
      <c r="O83" s="36">
        <f>O84+O89+O94+O96+O98</f>
        <v>131.50000000000023</v>
      </c>
      <c r="P83" s="36">
        <f>P84+P89+P94+P96+P98</f>
        <v>94409.5</v>
      </c>
      <c r="Q83" s="30"/>
      <c r="R83" s="36">
        <f>R84+R89+R94+R96+R98</f>
        <v>11594.700000000003</v>
      </c>
      <c r="S83" s="36">
        <f>S84+S89+S94+S96+S98</f>
        <v>106004.2</v>
      </c>
      <c r="T83" s="30"/>
    </row>
    <row r="84" spans="1:20" ht="230.25" customHeight="1" x14ac:dyDescent="0.2">
      <c r="A84" s="33"/>
      <c r="B84" s="43"/>
      <c r="C84" s="204" t="s">
        <v>112</v>
      </c>
      <c r="D84" s="204"/>
      <c r="E84" s="204"/>
      <c r="F84" s="204"/>
      <c r="G84" s="204"/>
      <c r="H84" s="35" t="s">
        <v>23</v>
      </c>
      <c r="I84" s="35" t="s">
        <v>12</v>
      </c>
      <c r="J84" s="35" t="s">
        <v>3</v>
      </c>
      <c r="K84" s="36">
        <f>SUM(K85:K88)</f>
        <v>50447.6</v>
      </c>
      <c r="L84" s="36">
        <f>SUM(L85:L88)</f>
        <v>-1023.7</v>
      </c>
      <c r="M84" s="36">
        <f>SUM(M85:M88)</f>
        <v>49423.9</v>
      </c>
      <c r="N84" s="30" t="s">
        <v>191</v>
      </c>
      <c r="O84" s="36">
        <f>SUM(O85:O88)</f>
        <v>-1467.4</v>
      </c>
      <c r="P84" s="36">
        <f>SUM(P85:P88)</f>
        <v>47956.5</v>
      </c>
      <c r="Q84" s="30" t="s">
        <v>252</v>
      </c>
      <c r="R84" s="36">
        <f>SUM(R85:R88)</f>
        <v>5463.0000000000009</v>
      </c>
      <c r="S84" s="36">
        <f>SUM(S85:S88)</f>
        <v>53419.5</v>
      </c>
      <c r="T84" s="30" t="s">
        <v>349</v>
      </c>
    </row>
    <row r="85" spans="1:20" ht="76.5" hidden="1" outlineLevel="1" x14ac:dyDescent="0.2">
      <c r="A85" s="33"/>
      <c r="B85" s="34"/>
      <c r="C85" s="34"/>
      <c r="D85" s="205" t="s">
        <v>113</v>
      </c>
      <c r="E85" s="205"/>
      <c r="F85" s="205"/>
      <c r="G85" s="205"/>
      <c r="H85" s="35" t="s">
        <v>23</v>
      </c>
      <c r="I85" s="35" t="s">
        <v>12</v>
      </c>
      <c r="J85" s="35" t="s">
        <v>9</v>
      </c>
      <c r="K85" s="36">
        <v>4074.4</v>
      </c>
      <c r="L85" s="36">
        <v>265.5</v>
      </c>
      <c r="M85" s="36">
        <f t="shared" si="6"/>
        <v>4339.8999999999996</v>
      </c>
      <c r="N85" s="30" t="s">
        <v>172</v>
      </c>
      <c r="O85" s="36">
        <v>-1400</v>
      </c>
      <c r="P85" s="36">
        <f>M85+O85</f>
        <v>2939.8999999999996</v>
      </c>
      <c r="Q85" s="30" t="s">
        <v>248</v>
      </c>
      <c r="R85" s="36">
        <f>9.3-12.7</f>
        <v>-3.3999999999999986</v>
      </c>
      <c r="S85" s="36">
        <f>P85+R85</f>
        <v>2936.4999999999995</v>
      </c>
      <c r="T85" s="30" t="s">
        <v>335</v>
      </c>
    </row>
    <row r="86" spans="1:20" ht="89.25" hidden="1" outlineLevel="1" x14ac:dyDescent="0.2">
      <c r="A86" s="33"/>
      <c r="B86" s="34"/>
      <c r="C86" s="34"/>
      <c r="D86" s="205" t="s">
        <v>114</v>
      </c>
      <c r="E86" s="205"/>
      <c r="F86" s="205"/>
      <c r="G86" s="205"/>
      <c r="H86" s="35" t="s">
        <v>23</v>
      </c>
      <c r="I86" s="35" t="s">
        <v>12</v>
      </c>
      <c r="J86" s="35" t="s">
        <v>8</v>
      </c>
      <c r="K86" s="36">
        <v>39778.199999999997</v>
      </c>
      <c r="L86" s="36">
        <v>-1289.2</v>
      </c>
      <c r="M86" s="36">
        <f t="shared" si="6"/>
        <v>38489</v>
      </c>
      <c r="N86" s="30" t="s">
        <v>186</v>
      </c>
      <c r="O86" s="36">
        <f>-20-45.4-18-4</f>
        <v>-87.4</v>
      </c>
      <c r="P86" s="36">
        <f>M86+O86</f>
        <v>38401.599999999999</v>
      </c>
      <c r="Q86" s="30" t="s">
        <v>251</v>
      </c>
      <c r="R86" s="36">
        <f>-100-6.6-18.4-100-100+4700-54.7</f>
        <v>4320.3</v>
      </c>
      <c r="S86" s="36">
        <f>P86+R86</f>
        <v>42721.9</v>
      </c>
      <c r="T86" s="30" t="s">
        <v>336</v>
      </c>
    </row>
    <row r="87" spans="1:20" ht="27" hidden="1" customHeight="1" outlineLevel="1" x14ac:dyDescent="0.2">
      <c r="A87" s="33"/>
      <c r="B87" s="34"/>
      <c r="C87" s="34"/>
      <c r="D87" s="34"/>
      <c r="E87" s="34"/>
      <c r="F87" s="34"/>
      <c r="G87" s="34" t="s">
        <v>208</v>
      </c>
      <c r="H87" s="35">
        <v>14</v>
      </c>
      <c r="I87" s="35">
        <v>1</v>
      </c>
      <c r="J87" s="59" t="s">
        <v>16</v>
      </c>
      <c r="K87" s="36">
        <v>0</v>
      </c>
      <c r="L87" s="36"/>
      <c r="M87" s="36">
        <v>0</v>
      </c>
      <c r="N87" s="30"/>
      <c r="O87" s="36">
        <v>20</v>
      </c>
      <c r="P87" s="36">
        <f>M87+O87</f>
        <v>20</v>
      </c>
      <c r="Q87" s="30" t="s">
        <v>209</v>
      </c>
      <c r="R87" s="36">
        <f>-8.9</f>
        <v>-8.9</v>
      </c>
      <c r="S87" s="36">
        <f>P87+R87</f>
        <v>11.1</v>
      </c>
      <c r="T87" s="30" t="s">
        <v>337</v>
      </c>
    </row>
    <row r="88" spans="1:20" ht="38.25" hidden="1" outlineLevel="1" x14ac:dyDescent="0.2">
      <c r="A88" s="33"/>
      <c r="B88" s="34"/>
      <c r="C88" s="34"/>
      <c r="D88" s="205" t="s">
        <v>115</v>
      </c>
      <c r="E88" s="205"/>
      <c r="F88" s="205"/>
      <c r="G88" s="205"/>
      <c r="H88" s="35" t="s">
        <v>23</v>
      </c>
      <c r="I88" s="35" t="s">
        <v>12</v>
      </c>
      <c r="J88" s="35" t="s">
        <v>7</v>
      </c>
      <c r="K88" s="36">
        <v>6595</v>
      </c>
      <c r="L88" s="36"/>
      <c r="M88" s="36">
        <f t="shared" si="6"/>
        <v>6595</v>
      </c>
      <c r="N88" s="30"/>
      <c r="O88" s="36"/>
      <c r="P88" s="36">
        <f>M88+O88</f>
        <v>6595</v>
      </c>
      <c r="Q88" s="30"/>
      <c r="R88" s="36">
        <v>1155</v>
      </c>
      <c r="S88" s="36">
        <f>P88+R88</f>
        <v>7750</v>
      </c>
      <c r="T88" s="30" t="s">
        <v>350</v>
      </c>
    </row>
    <row r="89" spans="1:20" ht="277.5" customHeight="1" collapsed="1" x14ac:dyDescent="0.2">
      <c r="A89" s="33"/>
      <c r="B89" s="43"/>
      <c r="C89" s="204" t="s">
        <v>116</v>
      </c>
      <c r="D89" s="204"/>
      <c r="E89" s="204"/>
      <c r="F89" s="204"/>
      <c r="G89" s="204"/>
      <c r="H89" s="35" t="s">
        <v>23</v>
      </c>
      <c r="I89" s="35" t="s">
        <v>10</v>
      </c>
      <c r="J89" s="35" t="s">
        <v>3</v>
      </c>
      <c r="K89" s="36">
        <f>SUM(K90:K93)</f>
        <v>30267.199999999997</v>
      </c>
      <c r="L89" s="36">
        <f>SUM(L90:L93)</f>
        <v>11138.2</v>
      </c>
      <c r="M89" s="36">
        <f>SUM(M90:M93)</f>
        <v>41405.399999999994</v>
      </c>
      <c r="N89" s="30" t="s">
        <v>180</v>
      </c>
      <c r="O89" s="36">
        <f>SUM(O90:O93)</f>
        <v>1598.9000000000003</v>
      </c>
      <c r="P89" s="36">
        <f>SUM(P90:P93)</f>
        <v>43004.3</v>
      </c>
      <c r="Q89" s="30" t="s">
        <v>249</v>
      </c>
      <c r="R89" s="36">
        <f>SUM(R90:R93)</f>
        <v>6159.1</v>
      </c>
      <c r="S89" s="36">
        <f>SUM(S90:S93)</f>
        <v>49163.399999999994</v>
      </c>
      <c r="T89" s="30" t="s">
        <v>380</v>
      </c>
    </row>
    <row r="90" spans="1:20" ht="138.75" hidden="1" customHeight="1" outlineLevel="1" x14ac:dyDescent="0.2">
      <c r="A90" s="33"/>
      <c r="B90" s="43"/>
      <c r="C90" s="43"/>
      <c r="D90" s="204" t="s">
        <v>117</v>
      </c>
      <c r="E90" s="204"/>
      <c r="F90" s="204"/>
      <c r="G90" s="204"/>
      <c r="H90" s="35" t="s">
        <v>23</v>
      </c>
      <c r="I90" s="35" t="s">
        <v>10</v>
      </c>
      <c r="J90" s="35" t="s">
        <v>9</v>
      </c>
      <c r="K90" s="36">
        <v>18306.599999999999</v>
      </c>
      <c r="L90" s="36">
        <v>-3500</v>
      </c>
      <c r="M90" s="36">
        <f t="shared" si="6"/>
        <v>14806.599999999999</v>
      </c>
      <c r="N90" s="30" t="s">
        <v>181</v>
      </c>
      <c r="O90" s="36">
        <f>1809.7-150.1+200+450+90-100-700.7</f>
        <v>1598.9000000000003</v>
      </c>
      <c r="P90" s="36">
        <f>M90+O90</f>
        <v>16405.5</v>
      </c>
      <c r="Q90" s="30" t="s">
        <v>250</v>
      </c>
      <c r="R90" s="36">
        <f>5074.3-1155-283.5-161.8</f>
        <v>3474</v>
      </c>
      <c r="S90" s="36">
        <f>P90+R90</f>
        <v>19879.5</v>
      </c>
      <c r="T90" s="30" t="s">
        <v>338</v>
      </c>
    </row>
    <row r="91" spans="1:20" ht="37.5" hidden="1" customHeight="1" outlineLevel="1" x14ac:dyDescent="0.2">
      <c r="A91" s="33"/>
      <c r="B91" s="43"/>
      <c r="C91" s="43"/>
      <c r="D91" s="204" t="s">
        <v>118</v>
      </c>
      <c r="E91" s="204"/>
      <c r="F91" s="204"/>
      <c r="G91" s="204"/>
      <c r="H91" s="35" t="s">
        <v>23</v>
      </c>
      <c r="I91" s="35" t="s">
        <v>10</v>
      </c>
      <c r="J91" s="35" t="s">
        <v>8</v>
      </c>
      <c r="K91" s="36">
        <v>4000</v>
      </c>
      <c r="L91" s="36"/>
      <c r="M91" s="36">
        <f t="shared" si="6"/>
        <v>4000</v>
      </c>
      <c r="N91" s="30"/>
      <c r="O91" s="36"/>
      <c r="P91" s="36">
        <f>M91+O91</f>
        <v>4000</v>
      </c>
      <c r="Q91" s="30"/>
      <c r="R91" s="36">
        <v>3100</v>
      </c>
      <c r="S91" s="36">
        <f>P91+R91</f>
        <v>7100</v>
      </c>
      <c r="T91" s="30" t="s">
        <v>339</v>
      </c>
    </row>
    <row r="92" spans="1:20" ht="68.25" hidden="1" customHeight="1" outlineLevel="1" x14ac:dyDescent="0.2">
      <c r="A92" s="33"/>
      <c r="B92" s="43"/>
      <c r="C92" s="43"/>
      <c r="D92" s="204" t="s">
        <v>119</v>
      </c>
      <c r="E92" s="204"/>
      <c r="F92" s="204"/>
      <c r="G92" s="204"/>
      <c r="H92" s="35" t="s">
        <v>23</v>
      </c>
      <c r="I92" s="35" t="s">
        <v>10</v>
      </c>
      <c r="J92" s="35" t="s">
        <v>16</v>
      </c>
      <c r="K92" s="36">
        <v>7960.6</v>
      </c>
      <c r="L92" s="36"/>
      <c r="M92" s="36">
        <f t="shared" si="6"/>
        <v>7960.6</v>
      </c>
      <c r="N92" s="30"/>
      <c r="O92" s="36"/>
      <c r="P92" s="36">
        <f>M92+O92</f>
        <v>7960.6</v>
      </c>
      <c r="Q92" s="30"/>
      <c r="R92" s="36">
        <f>-414.9</f>
        <v>-414.9</v>
      </c>
      <c r="S92" s="36">
        <f>P92+R92</f>
        <v>7545.7000000000007</v>
      </c>
      <c r="T92" s="30" t="s">
        <v>295</v>
      </c>
    </row>
    <row r="93" spans="1:20" ht="68.25" hidden="1" customHeight="1" outlineLevel="1" x14ac:dyDescent="0.2">
      <c r="A93" s="33"/>
      <c r="B93" s="43"/>
      <c r="C93" s="43"/>
      <c r="D93" s="43"/>
      <c r="E93" s="43"/>
      <c r="F93" s="43"/>
      <c r="G93" s="43" t="s">
        <v>174</v>
      </c>
      <c r="H93" s="35" t="s">
        <v>23</v>
      </c>
      <c r="I93" s="35" t="s">
        <v>10</v>
      </c>
      <c r="J93" s="59" t="s">
        <v>6</v>
      </c>
      <c r="K93" s="36">
        <v>0</v>
      </c>
      <c r="L93" s="36">
        <v>14638.2</v>
      </c>
      <c r="M93" s="36">
        <f t="shared" si="6"/>
        <v>14638.2</v>
      </c>
      <c r="N93" s="30" t="s">
        <v>175</v>
      </c>
      <c r="O93" s="36"/>
      <c r="P93" s="36">
        <f>M93+O93</f>
        <v>14638.2</v>
      </c>
      <c r="Q93" s="30"/>
      <c r="R93" s="36"/>
      <c r="S93" s="36">
        <f>P93+R93</f>
        <v>14638.2</v>
      </c>
      <c r="T93" s="30"/>
    </row>
    <row r="94" spans="1:20" ht="59.25" customHeight="1" collapsed="1" x14ac:dyDescent="0.2">
      <c r="A94" s="33"/>
      <c r="B94" s="43"/>
      <c r="C94" s="204" t="s">
        <v>120</v>
      </c>
      <c r="D94" s="204"/>
      <c r="E94" s="204"/>
      <c r="F94" s="204"/>
      <c r="G94" s="204"/>
      <c r="H94" s="35" t="s">
        <v>23</v>
      </c>
      <c r="I94" s="35" t="s">
        <v>13</v>
      </c>
      <c r="J94" s="35" t="s">
        <v>3</v>
      </c>
      <c r="K94" s="36">
        <f>SUM(K95)</f>
        <v>100</v>
      </c>
      <c r="L94" s="36">
        <f>SUM(L95)</f>
        <v>48.7</v>
      </c>
      <c r="M94" s="36">
        <f>SUM(M95)</f>
        <v>148.69999999999999</v>
      </c>
      <c r="N94" s="30" t="s">
        <v>173</v>
      </c>
      <c r="O94" s="36">
        <f>SUM(O95)</f>
        <v>0</v>
      </c>
      <c r="P94" s="36">
        <f>SUM(P95)</f>
        <v>148.69999999999999</v>
      </c>
      <c r="Q94" s="30"/>
      <c r="R94" s="36">
        <f>SUM(R95)</f>
        <v>-27.4</v>
      </c>
      <c r="S94" s="36">
        <f>SUM(S95)</f>
        <v>121.29999999999998</v>
      </c>
      <c r="T94" s="30" t="s">
        <v>341</v>
      </c>
    </row>
    <row r="95" spans="1:20" ht="51" hidden="1" outlineLevel="1" x14ac:dyDescent="0.2">
      <c r="A95" s="33"/>
      <c r="B95" s="43"/>
      <c r="C95" s="43"/>
      <c r="D95" s="204" t="s">
        <v>121</v>
      </c>
      <c r="E95" s="204"/>
      <c r="F95" s="204"/>
      <c r="G95" s="204"/>
      <c r="H95" s="35" t="s">
        <v>23</v>
      </c>
      <c r="I95" s="35" t="s">
        <v>13</v>
      </c>
      <c r="J95" s="35" t="s">
        <v>9</v>
      </c>
      <c r="K95" s="36">
        <v>100</v>
      </c>
      <c r="L95" s="36">
        <v>48.7</v>
      </c>
      <c r="M95" s="36">
        <f t="shared" si="6"/>
        <v>148.69999999999999</v>
      </c>
      <c r="N95" s="30" t="s">
        <v>173</v>
      </c>
      <c r="O95" s="36"/>
      <c r="P95" s="36">
        <f>M95+O95</f>
        <v>148.69999999999999</v>
      </c>
      <c r="Q95" s="30"/>
      <c r="R95" s="36">
        <f>-27.4</f>
        <v>-27.4</v>
      </c>
      <c r="S95" s="36">
        <f>P95+R95</f>
        <v>121.29999999999998</v>
      </c>
      <c r="T95" s="30" t="s">
        <v>340</v>
      </c>
    </row>
    <row r="96" spans="1:20" ht="51" customHeight="1" collapsed="1" x14ac:dyDescent="0.2">
      <c r="A96" s="33"/>
      <c r="B96" s="43"/>
      <c r="C96" s="204" t="s">
        <v>122</v>
      </c>
      <c r="D96" s="204"/>
      <c r="E96" s="204"/>
      <c r="F96" s="204"/>
      <c r="G96" s="204"/>
      <c r="H96" s="35" t="s">
        <v>23</v>
      </c>
      <c r="I96" s="35" t="s">
        <v>24</v>
      </c>
      <c r="J96" s="35" t="s">
        <v>3</v>
      </c>
      <c r="K96" s="36">
        <f>SUM(K97)</f>
        <v>3000</v>
      </c>
      <c r="L96" s="36">
        <f>SUM(L97)</f>
        <v>-1400</v>
      </c>
      <c r="M96" s="36">
        <f>SUM(M97)</f>
        <v>1600</v>
      </c>
      <c r="N96" s="30" t="s">
        <v>176</v>
      </c>
      <c r="O96" s="36">
        <f>SUM(O97)</f>
        <v>0</v>
      </c>
      <c r="P96" s="36">
        <f>SUM(P97)</f>
        <v>1600</v>
      </c>
      <c r="Q96" s="30"/>
      <c r="R96" s="36">
        <f>SUM(R97)</f>
        <v>0</v>
      </c>
      <c r="S96" s="36">
        <f>SUM(S97)</f>
        <v>1600</v>
      </c>
      <c r="T96" s="30"/>
    </row>
    <row r="97" spans="1:20" ht="36.75" hidden="1" customHeight="1" outlineLevel="1" x14ac:dyDescent="0.2">
      <c r="A97" s="33"/>
      <c r="B97" s="43"/>
      <c r="C97" s="43"/>
      <c r="D97" s="204" t="s">
        <v>123</v>
      </c>
      <c r="E97" s="204"/>
      <c r="F97" s="204"/>
      <c r="G97" s="204"/>
      <c r="H97" s="35" t="s">
        <v>23</v>
      </c>
      <c r="I97" s="35" t="s">
        <v>24</v>
      </c>
      <c r="J97" s="35" t="s">
        <v>9</v>
      </c>
      <c r="K97" s="36">
        <v>3000</v>
      </c>
      <c r="L97" s="36">
        <v>-1400</v>
      </c>
      <c r="M97" s="36">
        <f t="shared" si="6"/>
        <v>1600</v>
      </c>
      <c r="N97" s="30" t="s">
        <v>176</v>
      </c>
      <c r="O97" s="36"/>
      <c r="P97" s="36">
        <f>M97+O97</f>
        <v>1600</v>
      </c>
      <c r="Q97" s="30"/>
      <c r="R97" s="36"/>
      <c r="S97" s="36">
        <f>P97+R97</f>
        <v>1600</v>
      </c>
      <c r="T97" s="30"/>
    </row>
    <row r="98" spans="1:20" ht="51" customHeight="1" collapsed="1" x14ac:dyDescent="0.2">
      <c r="A98" s="33"/>
      <c r="B98" s="43"/>
      <c r="C98" s="204" t="s">
        <v>124</v>
      </c>
      <c r="D98" s="204"/>
      <c r="E98" s="204"/>
      <c r="F98" s="204"/>
      <c r="G98" s="204"/>
      <c r="H98" s="35" t="s">
        <v>23</v>
      </c>
      <c r="I98" s="35" t="s">
        <v>22</v>
      </c>
      <c r="J98" s="35" t="s">
        <v>3</v>
      </c>
      <c r="K98" s="36">
        <f>SUM(K99)</f>
        <v>1700</v>
      </c>
      <c r="L98" s="36">
        <f t="shared" ref="L98:S98" si="10">SUM(L99)</f>
        <v>0</v>
      </c>
      <c r="M98" s="36">
        <f t="shared" si="10"/>
        <v>1700</v>
      </c>
      <c r="N98" s="30"/>
      <c r="O98" s="36">
        <f t="shared" si="10"/>
        <v>0</v>
      </c>
      <c r="P98" s="36">
        <f t="shared" si="10"/>
        <v>1700</v>
      </c>
      <c r="Q98" s="30"/>
      <c r="R98" s="36">
        <f t="shared" si="10"/>
        <v>0</v>
      </c>
      <c r="S98" s="36">
        <f t="shared" si="10"/>
        <v>1700</v>
      </c>
      <c r="T98" s="30"/>
    </row>
    <row r="99" spans="1:20" ht="38.25" hidden="1" customHeight="1" outlineLevel="1" x14ac:dyDescent="0.2">
      <c r="A99" s="33"/>
      <c r="B99" s="43"/>
      <c r="C99" s="43"/>
      <c r="D99" s="204" t="s">
        <v>125</v>
      </c>
      <c r="E99" s="204"/>
      <c r="F99" s="204"/>
      <c r="G99" s="204"/>
      <c r="H99" s="35" t="s">
        <v>23</v>
      </c>
      <c r="I99" s="35" t="s">
        <v>22</v>
      </c>
      <c r="J99" s="35" t="s">
        <v>9</v>
      </c>
      <c r="K99" s="36">
        <v>1700</v>
      </c>
      <c r="L99" s="36"/>
      <c r="M99" s="36">
        <f t="shared" si="6"/>
        <v>1700</v>
      </c>
      <c r="N99" s="30"/>
      <c r="O99" s="36"/>
      <c r="P99" s="36">
        <f>M99+O99</f>
        <v>1700</v>
      </c>
      <c r="Q99" s="30"/>
      <c r="R99" s="36"/>
      <c r="S99" s="36">
        <f>P99+R99</f>
        <v>1700</v>
      </c>
      <c r="T99" s="30"/>
    </row>
    <row r="100" spans="1:20" ht="38.25" customHeight="1" collapsed="1" x14ac:dyDescent="0.2">
      <c r="A100" s="33"/>
      <c r="B100" s="204" t="s">
        <v>126</v>
      </c>
      <c r="C100" s="204"/>
      <c r="D100" s="204"/>
      <c r="E100" s="204"/>
      <c r="F100" s="204"/>
      <c r="G100" s="204"/>
      <c r="H100" s="35" t="s">
        <v>21</v>
      </c>
      <c r="I100" s="35" t="s">
        <v>3</v>
      </c>
      <c r="J100" s="35" t="s">
        <v>3</v>
      </c>
      <c r="K100" s="36">
        <f>SUM(K101)</f>
        <v>11965.1</v>
      </c>
      <c r="L100" s="36">
        <f t="shared" ref="L100:S100" si="11">SUM(L101)</f>
        <v>0</v>
      </c>
      <c r="M100" s="36">
        <f t="shared" si="11"/>
        <v>11965.1</v>
      </c>
      <c r="N100" s="30"/>
      <c r="O100" s="36">
        <f t="shared" si="11"/>
        <v>-1965.1000000000001</v>
      </c>
      <c r="P100" s="36">
        <f t="shared" si="11"/>
        <v>10000</v>
      </c>
      <c r="Q100" s="30" t="s">
        <v>217</v>
      </c>
      <c r="R100" s="36">
        <f t="shared" si="11"/>
        <v>0</v>
      </c>
      <c r="S100" s="36">
        <f t="shared" si="11"/>
        <v>10000</v>
      </c>
      <c r="T100" s="30"/>
    </row>
    <row r="101" spans="1:20" ht="35.25" hidden="1" customHeight="1" outlineLevel="1" x14ac:dyDescent="0.2">
      <c r="A101" s="33"/>
      <c r="B101" s="43"/>
      <c r="C101" s="43"/>
      <c r="D101" s="204" t="s">
        <v>127</v>
      </c>
      <c r="E101" s="204"/>
      <c r="F101" s="204"/>
      <c r="G101" s="204"/>
      <c r="H101" s="35" t="s">
        <v>21</v>
      </c>
      <c r="I101" s="35" t="s">
        <v>1</v>
      </c>
      <c r="J101" s="35" t="s">
        <v>9</v>
      </c>
      <c r="K101" s="36">
        <v>11965.1</v>
      </c>
      <c r="L101" s="36"/>
      <c r="M101" s="36">
        <f t="shared" si="6"/>
        <v>11965.1</v>
      </c>
      <c r="N101" s="30"/>
      <c r="O101" s="36">
        <f>-216.2-1748.9</f>
        <v>-1965.1000000000001</v>
      </c>
      <c r="P101" s="36">
        <f>M101+O101</f>
        <v>10000</v>
      </c>
      <c r="Q101" s="30" t="s">
        <v>217</v>
      </c>
      <c r="R101" s="36"/>
      <c r="S101" s="36">
        <f>P101+R101</f>
        <v>10000</v>
      </c>
      <c r="T101" s="30"/>
    </row>
    <row r="102" spans="1:20" ht="64.5" customHeight="1" collapsed="1" x14ac:dyDescent="0.2">
      <c r="A102" s="33"/>
      <c r="B102" s="204" t="s">
        <v>128</v>
      </c>
      <c r="C102" s="204"/>
      <c r="D102" s="204"/>
      <c r="E102" s="204"/>
      <c r="F102" s="204"/>
      <c r="G102" s="204"/>
      <c r="H102" s="35" t="s">
        <v>20</v>
      </c>
      <c r="I102" s="35" t="s">
        <v>3</v>
      </c>
      <c r="J102" s="35" t="s">
        <v>3</v>
      </c>
      <c r="K102" s="36">
        <f>SUM(K103:K104)</f>
        <v>2500</v>
      </c>
      <c r="L102" s="36">
        <f t="shared" ref="L102:O102" si="12">SUM(L104)</f>
        <v>0</v>
      </c>
      <c r="M102" s="36">
        <f>SUM(M103:M104)</f>
        <v>2500</v>
      </c>
      <c r="N102" s="30"/>
      <c r="O102" s="36">
        <f t="shared" si="12"/>
        <v>0</v>
      </c>
      <c r="P102" s="36">
        <f>SUM(P103:P104)</f>
        <v>2700</v>
      </c>
      <c r="Q102" s="30" t="s">
        <v>210</v>
      </c>
      <c r="R102" s="36">
        <f>SUM(R103:R104)</f>
        <v>-225.3</v>
      </c>
      <c r="S102" s="36">
        <f>SUM(S103:S104)</f>
        <v>2474.6999999999998</v>
      </c>
      <c r="T102" s="30" t="s">
        <v>371</v>
      </c>
    </row>
    <row r="103" spans="1:20" ht="37.5" hidden="1" customHeight="1" outlineLevel="1" x14ac:dyDescent="0.2">
      <c r="A103" s="33"/>
      <c r="B103" s="34"/>
      <c r="C103" s="34"/>
      <c r="D103" s="205" t="s">
        <v>129</v>
      </c>
      <c r="E103" s="205"/>
      <c r="F103" s="205"/>
      <c r="G103" s="205"/>
      <c r="H103" s="35" t="s">
        <v>20</v>
      </c>
      <c r="I103" s="35" t="s">
        <v>1</v>
      </c>
      <c r="J103" s="35" t="s">
        <v>9</v>
      </c>
      <c r="K103" s="36">
        <v>2500</v>
      </c>
      <c r="L103" s="36"/>
      <c r="M103" s="36">
        <f t="shared" ref="M103" si="13">K103+L103</f>
        <v>2500</v>
      </c>
      <c r="N103" s="30"/>
      <c r="O103" s="36">
        <f>200</f>
        <v>200</v>
      </c>
      <c r="P103" s="36">
        <f>M103+O103</f>
        <v>2700</v>
      </c>
      <c r="Q103" s="30" t="s">
        <v>277</v>
      </c>
      <c r="R103" s="36">
        <f>-225.3-200</f>
        <v>-425.3</v>
      </c>
      <c r="S103" s="36">
        <f>P103+R103</f>
        <v>2274.6999999999998</v>
      </c>
      <c r="T103" s="30" t="s">
        <v>343</v>
      </c>
    </row>
    <row r="104" spans="1:20" ht="37.5" hidden="1" customHeight="1" outlineLevel="1" x14ac:dyDescent="0.2">
      <c r="A104" s="33"/>
      <c r="B104" s="34"/>
      <c r="C104" s="34"/>
      <c r="D104" s="205" t="s">
        <v>129</v>
      </c>
      <c r="E104" s="205"/>
      <c r="F104" s="205"/>
      <c r="G104" s="205"/>
      <c r="H104" s="35" t="s">
        <v>20</v>
      </c>
      <c r="I104" s="35" t="s">
        <v>1</v>
      </c>
      <c r="J104" s="59" t="s">
        <v>8</v>
      </c>
      <c r="K104" s="36">
        <v>0</v>
      </c>
      <c r="L104" s="36"/>
      <c r="M104" s="36">
        <f>K104+L104</f>
        <v>0</v>
      </c>
      <c r="N104" s="30"/>
      <c r="O104" s="36"/>
      <c r="P104" s="36">
        <f>M104+O104</f>
        <v>0</v>
      </c>
      <c r="Q104" s="30" t="s">
        <v>277</v>
      </c>
      <c r="R104" s="36">
        <v>200</v>
      </c>
      <c r="S104" s="36">
        <f>P104+R104</f>
        <v>200</v>
      </c>
      <c r="T104" s="30" t="s">
        <v>342</v>
      </c>
    </row>
    <row r="105" spans="1:20" ht="73.5" customHeight="1" collapsed="1" x14ac:dyDescent="0.2">
      <c r="A105" s="33"/>
      <c r="B105" s="204" t="s">
        <v>130</v>
      </c>
      <c r="C105" s="204"/>
      <c r="D105" s="204"/>
      <c r="E105" s="204"/>
      <c r="F105" s="204"/>
      <c r="G105" s="204"/>
      <c r="H105" s="35" t="s">
        <v>19</v>
      </c>
      <c r="I105" s="35" t="s">
        <v>3</v>
      </c>
      <c r="J105" s="35" t="s">
        <v>3</v>
      </c>
      <c r="K105" s="36">
        <f>K106+K111</f>
        <v>1467.1</v>
      </c>
      <c r="L105" s="36">
        <f>L106+L111</f>
        <v>1400</v>
      </c>
      <c r="M105" s="36">
        <f>M106+M111</f>
        <v>2867.1</v>
      </c>
      <c r="N105" s="30"/>
      <c r="O105" s="36">
        <f>O106+O111</f>
        <v>380</v>
      </c>
      <c r="P105" s="36">
        <f>P106+P111</f>
        <v>3247.1</v>
      </c>
      <c r="Q105" s="30"/>
      <c r="R105" s="36">
        <f>R106+R111</f>
        <v>670</v>
      </c>
      <c r="S105" s="36">
        <f>S106+S111</f>
        <v>3917.1</v>
      </c>
      <c r="T105" s="30" t="s">
        <v>344</v>
      </c>
    </row>
    <row r="106" spans="1:20" ht="55.5" customHeight="1" x14ac:dyDescent="0.2">
      <c r="A106" s="33"/>
      <c r="B106" s="43"/>
      <c r="C106" s="204" t="s">
        <v>131</v>
      </c>
      <c r="D106" s="204"/>
      <c r="E106" s="204"/>
      <c r="F106" s="204"/>
      <c r="G106" s="204"/>
      <c r="H106" s="35" t="s">
        <v>19</v>
      </c>
      <c r="I106" s="35" t="s">
        <v>12</v>
      </c>
      <c r="J106" s="35" t="s">
        <v>3</v>
      </c>
      <c r="K106" s="36">
        <f>SUM(K107:K110)</f>
        <v>1167.0999999999999</v>
      </c>
      <c r="L106" s="36">
        <f>SUM(L107:L110)</f>
        <v>1400</v>
      </c>
      <c r="M106" s="36">
        <f>SUM(M107:M110)</f>
        <v>2567.1</v>
      </c>
      <c r="N106" s="30" t="s">
        <v>192</v>
      </c>
      <c r="O106" s="36">
        <f>SUM(O107:O110)</f>
        <v>245</v>
      </c>
      <c r="P106" s="36">
        <f>SUM(P107:P110)</f>
        <v>2812.1</v>
      </c>
      <c r="Q106" s="30" t="s">
        <v>232</v>
      </c>
      <c r="R106" s="36">
        <f>SUM(R107:R110)</f>
        <v>670</v>
      </c>
      <c r="S106" s="36">
        <f>SUM(S107:S110)</f>
        <v>3482.1</v>
      </c>
      <c r="T106" s="30" t="s">
        <v>344</v>
      </c>
    </row>
    <row r="107" spans="1:20" ht="12.75" hidden="1" customHeight="1" outlineLevel="1" x14ac:dyDescent="0.2">
      <c r="A107" s="33"/>
      <c r="B107" s="43"/>
      <c r="C107" s="43"/>
      <c r="D107" s="204" t="s">
        <v>132</v>
      </c>
      <c r="E107" s="204"/>
      <c r="F107" s="204"/>
      <c r="G107" s="204"/>
      <c r="H107" s="35" t="s">
        <v>19</v>
      </c>
      <c r="I107" s="35" t="s">
        <v>12</v>
      </c>
      <c r="J107" s="35" t="s">
        <v>9</v>
      </c>
      <c r="K107" s="36">
        <v>49.6</v>
      </c>
      <c r="L107" s="36"/>
      <c r="M107" s="36">
        <f t="shared" si="6"/>
        <v>49.6</v>
      </c>
      <c r="N107" s="30"/>
      <c r="O107" s="36"/>
      <c r="P107" s="36">
        <f>M107+O107</f>
        <v>49.6</v>
      </c>
      <c r="Q107" s="30"/>
      <c r="R107" s="36"/>
      <c r="S107" s="36">
        <f>P107+R107</f>
        <v>49.6</v>
      </c>
      <c r="T107" s="30"/>
    </row>
    <row r="108" spans="1:20" ht="34.5" hidden="1" customHeight="1" outlineLevel="1" x14ac:dyDescent="0.2">
      <c r="A108" s="33"/>
      <c r="B108" s="43"/>
      <c r="C108" s="43"/>
      <c r="D108" s="204" t="s">
        <v>133</v>
      </c>
      <c r="E108" s="204"/>
      <c r="F108" s="204"/>
      <c r="G108" s="204"/>
      <c r="H108" s="35" t="s">
        <v>19</v>
      </c>
      <c r="I108" s="35" t="s">
        <v>12</v>
      </c>
      <c r="J108" s="35" t="s">
        <v>8</v>
      </c>
      <c r="K108" s="36">
        <v>893.5</v>
      </c>
      <c r="L108" s="36">
        <v>1400</v>
      </c>
      <c r="M108" s="36">
        <f t="shared" si="6"/>
        <v>2293.5</v>
      </c>
      <c r="N108" s="30" t="s">
        <v>182</v>
      </c>
      <c r="O108" s="36">
        <f>15.2+450+3.8</f>
        <v>469</v>
      </c>
      <c r="P108" s="36">
        <f>M108+O108</f>
        <v>2762.5</v>
      </c>
      <c r="Q108" s="30" t="s">
        <v>233</v>
      </c>
      <c r="R108" s="36">
        <v>670</v>
      </c>
      <c r="S108" s="36">
        <f>P108+R108</f>
        <v>3432.5</v>
      </c>
      <c r="T108" s="30" t="s">
        <v>344</v>
      </c>
    </row>
    <row r="109" spans="1:20" ht="33.75" hidden="1" customHeight="1" outlineLevel="1" x14ac:dyDescent="0.2">
      <c r="A109" s="33"/>
      <c r="B109" s="43"/>
      <c r="C109" s="43"/>
      <c r="D109" s="204" t="s">
        <v>134</v>
      </c>
      <c r="E109" s="204"/>
      <c r="F109" s="204"/>
      <c r="G109" s="204"/>
      <c r="H109" s="35" t="s">
        <v>19</v>
      </c>
      <c r="I109" s="35" t="s">
        <v>12</v>
      </c>
      <c r="J109" s="35" t="s">
        <v>16</v>
      </c>
      <c r="K109" s="36">
        <v>24</v>
      </c>
      <c r="L109" s="36"/>
      <c r="M109" s="36">
        <f>K109+L109</f>
        <v>24</v>
      </c>
      <c r="N109" s="30"/>
      <c r="O109" s="36">
        <f>-19.2-3.8-1</f>
        <v>-24</v>
      </c>
      <c r="P109" s="36">
        <f>M109+O109</f>
        <v>0</v>
      </c>
      <c r="Q109" s="30" t="s">
        <v>234</v>
      </c>
      <c r="R109" s="36"/>
      <c r="S109" s="36">
        <f>P109+R109</f>
        <v>0</v>
      </c>
      <c r="T109" s="30"/>
    </row>
    <row r="110" spans="1:20" ht="25.5" hidden="1" customHeight="1" outlineLevel="1" x14ac:dyDescent="0.2">
      <c r="A110" s="33"/>
      <c r="B110" s="43"/>
      <c r="C110" s="43"/>
      <c r="D110" s="204" t="s">
        <v>135</v>
      </c>
      <c r="E110" s="204"/>
      <c r="F110" s="204"/>
      <c r="G110" s="204"/>
      <c r="H110" s="35" t="s">
        <v>19</v>
      </c>
      <c r="I110" s="35" t="s">
        <v>12</v>
      </c>
      <c r="J110" s="35" t="s">
        <v>7</v>
      </c>
      <c r="K110" s="36">
        <v>200</v>
      </c>
      <c r="L110" s="36"/>
      <c r="M110" s="36">
        <f t="shared" ref="M110:M120" si="14">K110+L110</f>
        <v>200</v>
      </c>
      <c r="N110" s="30"/>
      <c r="O110" s="36">
        <f>-200</f>
        <v>-200</v>
      </c>
      <c r="P110" s="36">
        <f>M110+O110</f>
        <v>0</v>
      </c>
      <c r="Q110" s="30" t="s">
        <v>276</v>
      </c>
      <c r="R110" s="36"/>
      <c r="S110" s="36">
        <f>P110+R110</f>
        <v>0</v>
      </c>
      <c r="T110" s="30"/>
    </row>
    <row r="111" spans="1:20" ht="51.75" customHeight="1" collapsed="1" x14ac:dyDescent="0.2">
      <c r="A111" s="33"/>
      <c r="B111" s="43"/>
      <c r="C111" s="204" t="s">
        <v>136</v>
      </c>
      <c r="D111" s="204"/>
      <c r="E111" s="204"/>
      <c r="F111" s="204"/>
      <c r="G111" s="204"/>
      <c r="H111" s="35" t="s">
        <v>19</v>
      </c>
      <c r="I111" s="35" t="s">
        <v>10</v>
      </c>
      <c r="J111" s="35" t="s">
        <v>3</v>
      </c>
      <c r="K111" s="36">
        <f>SUM(K112)</f>
        <v>300</v>
      </c>
      <c r="L111" s="36">
        <f>SUM(L112)</f>
        <v>0</v>
      </c>
      <c r="M111" s="36">
        <f>SUM(M112)</f>
        <v>300</v>
      </c>
      <c r="N111" s="30"/>
      <c r="O111" s="36">
        <f>SUM(O112)</f>
        <v>135</v>
      </c>
      <c r="P111" s="36">
        <f>SUM(P112)</f>
        <v>435</v>
      </c>
      <c r="Q111" s="30" t="s">
        <v>274</v>
      </c>
      <c r="R111" s="36">
        <f>SUM(R112)</f>
        <v>0</v>
      </c>
      <c r="S111" s="36">
        <f>SUM(S112)</f>
        <v>435</v>
      </c>
      <c r="T111" s="30"/>
    </row>
    <row r="112" spans="1:20" ht="33" hidden="1" customHeight="1" outlineLevel="1" x14ac:dyDescent="0.2">
      <c r="A112" s="33"/>
      <c r="B112" s="43"/>
      <c r="C112" s="43"/>
      <c r="D112" s="204" t="s">
        <v>137</v>
      </c>
      <c r="E112" s="204"/>
      <c r="F112" s="204"/>
      <c r="G112" s="204"/>
      <c r="H112" s="35" t="s">
        <v>19</v>
      </c>
      <c r="I112" s="35" t="s">
        <v>10</v>
      </c>
      <c r="J112" s="35" t="s">
        <v>9</v>
      </c>
      <c r="K112" s="36">
        <v>300</v>
      </c>
      <c r="L112" s="36"/>
      <c r="M112" s="36">
        <f>K112+L112</f>
        <v>300</v>
      </c>
      <c r="N112" s="30"/>
      <c r="O112" s="36">
        <f>225-90</f>
        <v>135</v>
      </c>
      <c r="P112" s="36">
        <f>M112+O112</f>
        <v>435</v>
      </c>
      <c r="Q112" s="30" t="s">
        <v>273</v>
      </c>
      <c r="R112" s="36"/>
      <c r="S112" s="36">
        <f>P112+R112</f>
        <v>435</v>
      </c>
      <c r="T112" s="30"/>
    </row>
    <row r="113" spans="1:20" ht="75.75" customHeight="1" collapsed="1" x14ac:dyDescent="0.2">
      <c r="A113" s="33"/>
      <c r="B113" s="204" t="s">
        <v>138</v>
      </c>
      <c r="C113" s="204"/>
      <c r="D113" s="204"/>
      <c r="E113" s="204"/>
      <c r="F113" s="204"/>
      <c r="G113" s="204"/>
      <c r="H113" s="35" t="s">
        <v>18</v>
      </c>
      <c r="I113" s="35" t="s">
        <v>3</v>
      </c>
      <c r="J113" s="35" t="s">
        <v>3</v>
      </c>
      <c r="K113" s="36">
        <f>SUM(K114)</f>
        <v>813.4</v>
      </c>
      <c r="L113" s="36">
        <f t="shared" ref="L113:S113" si="15">SUM(L114)</f>
        <v>0</v>
      </c>
      <c r="M113" s="36">
        <f t="shared" si="15"/>
        <v>813.4</v>
      </c>
      <c r="N113" s="30"/>
      <c r="O113" s="36">
        <f t="shared" si="15"/>
        <v>-70</v>
      </c>
      <c r="P113" s="36">
        <f t="shared" si="15"/>
        <v>743.4</v>
      </c>
      <c r="Q113" s="30" t="s">
        <v>241</v>
      </c>
      <c r="R113" s="36">
        <f t="shared" si="15"/>
        <v>0</v>
      </c>
      <c r="S113" s="36">
        <f t="shared" si="15"/>
        <v>743.4</v>
      </c>
      <c r="T113" s="30"/>
    </row>
    <row r="114" spans="1:20" ht="35.25" hidden="1" customHeight="1" outlineLevel="1" x14ac:dyDescent="0.2">
      <c r="A114" s="33"/>
      <c r="B114" s="43"/>
      <c r="C114" s="43"/>
      <c r="D114" s="204" t="s">
        <v>139</v>
      </c>
      <c r="E114" s="204"/>
      <c r="F114" s="204"/>
      <c r="G114" s="204"/>
      <c r="H114" s="35" t="s">
        <v>18</v>
      </c>
      <c r="I114" s="35" t="s">
        <v>1</v>
      </c>
      <c r="J114" s="35" t="s">
        <v>9</v>
      </c>
      <c r="K114" s="36">
        <v>813.4</v>
      </c>
      <c r="L114" s="36"/>
      <c r="M114" s="36">
        <f t="shared" si="14"/>
        <v>813.4</v>
      </c>
      <c r="N114" s="30"/>
      <c r="O114" s="36">
        <v>-70</v>
      </c>
      <c r="P114" s="36">
        <f>M114+O114</f>
        <v>743.4</v>
      </c>
      <c r="Q114" s="30" t="s">
        <v>241</v>
      </c>
      <c r="R114" s="36"/>
      <c r="S114" s="36">
        <f>P114+R114</f>
        <v>743.4</v>
      </c>
      <c r="T114" s="30"/>
    </row>
    <row r="115" spans="1:20" ht="60" customHeight="1" collapsed="1" x14ac:dyDescent="0.2">
      <c r="A115" s="33"/>
      <c r="B115" s="204" t="s">
        <v>140</v>
      </c>
      <c r="C115" s="204"/>
      <c r="D115" s="204"/>
      <c r="E115" s="204"/>
      <c r="F115" s="204"/>
      <c r="G115" s="204"/>
      <c r="H115" s="35" t="s">
        <v>17</v>
      </c>
      <c r="I115" s="35" t="s">
        <v>3</v>
      </c>
      <c r="J115" s="35" t="s">
        <v>3</v>
      </c>
      <c r="K115" s="36">
        <f>K116+K121+K124</f>
        <v>2045367.4999999998</v>
      </c>
      <c r="L115" s="36">
        <f>L116+L121+L124</f>
        <v>9410</v>
      </c>
      <c r="M115" s="36">
        <f>M116+M121+M124</f>
        <v>2054777.4999999998</v>
      </c>
      <c r="N115" s="30"/>
      <c r="O115" s="36">
        <f>O116+O121+O124</f>
        <v>60117.500000000015</v>
      </c>
      <c r="P115" s="36">
        <f>P116+P121+P124</f>
        <v>2114895.0999999996</v>
      </c>
      <c r="Q115" s="30"/>
      <c r="R115" s="36">
        <f>R116+R121+R124+R128</f>
        <v>28725.299999999996</v>
      </c>
      <c r="S115" s="36">
        <f>S116+S121+S124+S128</f>
        <v>2143620.4</v>
      </c>
      <c r="T115" s="30"/>
    </row>
    <row r="116" spans="1:20" ht="210.75" customHeight="1" x14ac:dyDescent="0.2">
      <c r="A116" s="33"/>
      <c r="B116" s="34"/>
      <c r="C116" s="221" t="s">
        <v>141</v>
      </c>
      <c r="D116" s="222"/>
      <c r="E116" s="222"/>
      <c r="F116" s="222"/>
      <c r="G116" s="223"/>
      <c r="H116" s="231" t="s">
        <v>17</v>
      </c>
      <c r="I116" s="231" t="s">
        <v>12</v>
      </c>
      <c r="J116" s="231" t="s">
        <v>3</v>
      </c>
      <c r="K116" s="227">
        <f>SUM(K118:K120)</f>
        <v>1950558.0999999999</v>
      </c>
      <c r="L116" s="60">
        <f>SUM(L118:L120)</f>
        <v>8402.9</v>
      </c>
      <c r="M116" s="227">
        <f>SUM(M118:M120)</f>
        <v>1958960.9999999998</v>
      </c>
      <c r="N116" s="61" t="s">
        <v>199</v>
      </c>
      <c r="O116" s="60">
        <f>SUM(O118:O120)</f>
        <v>46696.400000000009</v>
      </c>
      <c r="P116" s="227">
        <f>SUM(P118:P120)</f>
        <v>2005657.4999999998</v>
      </c>
      <c r="Q116" s="61" t="s">
        <v>282</v>
      </c>
      <c r="R116" s="227">
        <f>SUM(R118:R120)</f>
        <v>16639.499999999996</v>
      </c>
      <c r="S116" s="227">
        <f>SUM(S118:S120)</f>
        <v>2022296.9999999998</v>
      </c>
      <c r="T116" s="229" t="s">
        <v>381</v>
      </c>
    </row>
    <row r="117" spans="1:20" ht="398.25" customHeight="1" x14ac:dyDescent="0.2">
      <c r="A117" s="33"/>
      <c r="B117" s="34"/>
      <c r="C117" s="224"/>
      <c r="D117" s="225"/>
      <c r="E117" s="225"/>
      <c r="F117" s="225"/>
      <c r="G117" s="226"/>
      <c r="H117" s="232"/>
      <c r="I117" s="232"/>
      <c r="J117" s="232"/>
      <c r="K117" s="228"/>
      <c r="L117" s="60"/>
      <c r="M117" s="228"/>
      <c r="N117" s="61"/>
      <c r="O117" s="60"/>
      <c r="P117" s="228"/>
      <c r="Q117" s="61"/>
      <c r="R117" s="228"/>
      <c r="S117" s="228"/>
      <c r="T117" s="230"/>
    </row>
    <row r="118" spans="1:20" ht="90" hidden="1" customHeight="1" outlineLevel="1" x14ac:dyDescent="0.2">
      <c r="A118" s="33"/>
      <c r="B118" s="34"/>
      <c r="C118" s="34"/>
      <c r="D118" s="205" t="s">
        <v>294</v>
      </c>
      <c r="E118" s="205"/>
      <c r="F118" s="205"/>
      <c r="G118" s="205"/>
      <c r="H118" s="35" t="s">
        <v>17</v>
      </c>
      <c r="I118" s="35" t="s">
        <v>12</v>
      </c>
      <c r="J118" s="35" t="s">
        <v>9</v>
      </c>
      <c r="K118" s="36">
        <v>37302.9</v>
      </c>
      <c r="L118" s="36"/>
      <c r="M118" s="36">
        <f t="shared" si="14"/>
        <v>37302.9</v>
      </c>
      <c r="N118" s="30"/>
      <c r="O118" s="36">
        <f>-403.7+60.6-1000</f>
        <v>-1343.1</v>
      </c>
      <c r="P118" s="36">
        <f>M118+O118</f>
        <v>35959.800000000003</v>
      </c>
      <c r="Q118" s="30" t="s">
        <v>280</v>
      </c>
      <c r="R118" s="36">
        <f>300.4-4059.5-200-250</f>
        <v>-4209.1000000000004</v>
      </c>
      <c r="S118" s="36">
        <f>P118+R118</f>
        <v>31750.700000000004</v>
      </c>
      <c r="T118" s="30" t="s">
        <v>375</v>
      </c>
    </row>
    <row r="119" spans="1:20" ht="247.5" hidden="1" customHeight="1" outlineLevel="1" x14ac:dyDescent="0.2">
      <c r="A119" s="33"/>
      <c r="B119" s="34"/>
      <c r="C119" s="34"/>
      <c r="D119" s="205" t="s">
        <v>142</v>
      </c>
      <c r="E119" s="205"/>
      <c r="F119" s="205"/>
      <c r="G119" s="205"/>
      <c r="H119" s="35" t="s">
        <v>17</v>
      </c>
      <c r="I119" s="35" t="s">
        <v>12</v>
      </c>
      <c r="J119" s="35" t="s">
        <v>8</v>
      </c>
      <c r="K119" s="36">
        <v>1740290.9</v>
      </c>
      <c r="L119" s="36">
        <f>1965.5+6437.4</f>
        <v>8402.9</v>
      </c>
      <c r="M119" s="36">
        <f t="shared" si="14"/>
        <v>1748693.7999999998</v>
      </c>
      <c r="N119" s="30" t="s">
        <v>198</v>
      </c>
      <c r="O119" s="36">
        <f>-20+(-2.5)+344.2+1229.2+37106.8+155+6175-51+350-768.2+737-150</f>
        <v>45105.500000000007</v>
      </c>
      <c r="P119" s="36">
        <f>M119+O119-40.5</f>
        <v>1793758.7999999998</v>
      </c>
      <c r="Q119" s="30" t="s">
        <v>304</v>
      </c>
      <c r="R119" s="36">
        <f>250-111.9-656-340+14737.2+48.8+1115.9+4202.4+1273.6+1157.3+2</f>
        <v>21679.3</v>
      </c>
      <c r="S119" s="36">
        <f>P119+R119</f>
        <v>1815438.0999999999</v>
      </c>
      <c r="T119" s="30" t="s">
        <v>315</v>
      </c>
    </row>
    <row r="120" spans="1:20" ht="278.25" hidden="1" customHeight="1" outlineLevel="1" x14ac:dyDescent="0.2">
      <c r="A120" s="33"/>
      <c r="B120" s="34"/>
      <c r="C120" s="34"/>
      <c r="D120" s="205" t="s">
        <v>293</v>
      </c>
      <c r="E120" s="205"/>
      <c r="F120" s="205"/>
      <c r="G120" s="205"/>
      <c r="H120" s="35" t="s">
        <v>17</v>
      </c>
      <c r="I120" s="35" t="s">
        <v>12</v>
      </c>
      <c r="J120" s="35" t="s">
        <v>16</v>
      </c>
      <c r="K120" s="36">
        <v>172964.3</v>
      </c>
      <c r="L120" s="36"/>
      <c r="M120" s="36">
        <f t="shared" si="14"/>
        <v>172964.3</v>
      </c>
      <c r="N120" s="30"/>
      <c r="O120" s="36">
        <v>2934</v>
      </c>
      <c r="P120" s="36">
        <f>M120+O120+40.6</f>
        <v>175938.9</v>
      </c>
      <c r="Q120" s="30" t="s">
        <v>283</v>
      </c>
      <c r="R120" s="36">
        <f>-597.3-233.5+0.1</f>
        <v>-830.69999999999993</v>
      </c>
      <c r="S120" s="36">
        <f>P120+R120</f>
        <v>175108.19999999998</v>
      </c>
      <c r="T120" s="30" t="s">
        <v>316</v>
      </c>
    </row>
    <row r="121" spans="1:20" ht="78" customHeight="1" collapsed="1" x14ac:dyDescent="0.2">
      <c r="A121" s="33"/>
      <c r="B121" s="43"/>
      <c r="C121" s="204" t="s">
        <v>143</v>
      </c>
      <c r="D121" s="204"/>
      <c r="E121" s="204"/>
      <c r="F121" s="204"/>
      <c r="G121" s="204"/>
      <c r="H121" s="35" t="s">
        <v>17</v>
      </c>
      <c r="I121" s="35" t="s">
        <v>10</v>
      </c>
      <c r="J121" s="35" t="s">
        <v>3</v>
      </c>
      <c r="K121" s="36">
        <f>SUM(K122:K123)</f>
        <v>11094</v>
      </c>
      <c r="L121" s="36">
        <f>SUM(L122:L123)</f>
        <v>1007.1</v>
      </c>
      <c r="M121" s="36">
        <f>SUM(M122:M123)</f>
        <v>12101.1</v>
      </c>
      <c r="N121" s="30" t="s">
        <v>195</v>
      </c>
      <c r="O121" s="36">
        <f>SUM(O122:O123)</f>
        <v>-7130.1</v>
      </c>
      <c r="P121" s="36">
        <f>SUM(P122:P123)</f>
        <v>4971</v>
      </c>
      <c r="Q121" s="30" t="s">
        <v>263</v>
      </c>
      <c r="R121" s="36">
        <f>SUM(R122:R123)</f>
        <v>0</v>
      </c>
      <c r="S121" s="36">
        <f>SUM(S122:S123)</f>
        <v>4971</v>
      </c>
      <c r="T121" s="30"/>
    </row>
    <row r="122" spans="1:20" ht="41.25" hidden="1" customHeight="1" outlineLevel="1" x14ac:dyDescent="0.2">
      <c r="A122" s="33"/>
      <c r="B122" s="43"/>
      <c r="C122" s="43"/>
      <c r="D122" s="204" t="s">
        <v>144</v>
      </c>
      <c r="E122" s="204"/>
      <c r="F122" s="204"/>
      <c r="G122" s="204"/>
      <c r="H122" s="35" t="s">
        <v>17</v>
      </c>
      <c r="I122" s="35" t="s">
        <v>10</v>
      </c>
      <c r="J122" s="35" t="s">
        <v>9</v>
      </c>
      <c r="K122" s="36">
        <v>10094</v>
      </c>
      <c r="L122" s="36">
        <v>1007.1</v>
      </c>
      <c r="M122" s="36">
        <f t="shared" ref="M122:M140" si="16">K122+L122</f>
        <v>11101.1</v>
      </c>
      <c r="N122" s="30" t="s">
        <v>195</v>
      </c>
      <c r="O122" s="36">
        <f>20-6834.8-70.3-296</f>
        <v>-7181.1</v>
      </c>
      <c r="P122" s="36">
        <f>M122+O122</f>
        <v>3920</v>
      </c>
      <c r="Q122" s="30" t="s">
        <v>305</v>
      </c>
      <c r="R122" s="36"/>
      <c r="S122" s="36">
        <f>P122+R122</f>
        <v>3920</v>
      </c>
      <c r="T122" s="30"/>
    </row>
    <row r="123" spans="1:20" ht="30" hidden="1" customHeight="1" outlineLevel="1" x14ac:dyDescent="0.2">
      <c r="A123" s="33"/>
      <c r="B123" s="43"/>
      <c r="C123" s="43"/>
      <c r="D123" s="204" t="s">
        <v>145</v>
      </c>
      <c r="E123" s="204"/>
      <c r="F123" s="204"/>
      <c r="G123" s="204"/>
      <c r="H123" s="35" t="s">
        <v>17</v>
      </c>
      <c r="I123" s="35" t="s">
        <v>10</v>
      </c>
      <c r="J123" s="35" t="s">
        <v>8</v>
      </c>
      <c r="K123" s="36">
        <v>1000</v>
      </c>
      <c r="L123" s="36"/>
      <c r="M123" s="36">
        <f t="shared" si="16"/>
        <v>1000</v>
      </c>
      <c r="N123" s="30"/>
      <c r="O123" s="36">
        <f>51</f>
        <v>51</v>
      </c>
      <c r="P123" s="36">
        <f>M123+O123</f>
        <v>1051</v>
      </c>
      <c r="Q123" s="30" t="s">
        <v>306</v>
      </c>
      <c r="R123" s="36"/>
      <c r="S123" s="36">
        <f>P123+R123</f>
        <v>1051</v>
      </c>
      <c r="T123" s="30"/>
    </row>
    <row r="124" spans="1:20" ht="275.25" customHeight="1" collapsed="1" x14ac:dyDescent="0.2">
      <c r="A124" s="33"/>
      <c r="B124" s="43"/>
      <c r="C124" s="204" t="s">
        <v>146</v>
      </c>
      <c r="D124" s="204"/>
      <c r="E124" s="204"/>
      <c r="F124" s="204"/>
      <c r="G124" s="204"/>
      <c r="H124" s="35" t="s">
        <v>17</v>
      </c>
      <c r="I124" s="35" t="s">
        <v>13</v>
      </c>
      <c r="J124" s="35" t="s">
        <v>3</v>
      </c>
      <c r="K124" s="36">
        <f>SUM(K125:K127)</f>
        <v>83715.399999999994</v>
      </c>
      <c r="L124" s="36">
        <f>SUM(L125:L127)</f>
        <v>0</v>
      </c>
      <c r="M124" s="36">
        <f>SUM(M125:M127)</f>
        <v>83715.399999999994</v>
      </c>
      <c r="N124" s="30"/>
      <c r="O124" s="36">
        <f>SUM(O125:O127)</f>
        <v>20551.2</v>
      </c>
      <c r="P124" s="36">
        <f>SUM(P125:P127)</f>
        <v>104266.6</v>
      </c>
      <c r="Q124" s="30" t="s">
        <v>242</v>
      </c>
      <c r="R124" s="36">
        <f>SUM(R125:R127)</f>
        <v>11085.8</v>
      </c>
      <c r="S124" s="36">
        <f>SUM(S125:S127)</f>
        <v>115352.4</v>
      </c>
      <c r="T124" s="30" t="s">
        <v>356</v>
      </c>
    </row>
    <row r="125" spans="1:20" ht="57.75" hidden="1" customHeight="1" outlineLevel="1" x14ac:dyDescent="0.2">
      <c r="A125" s="33"/>
      <c r="B125" s="43"/>
      <c r="C125" s="43"/>
      <c r="D125" s="204" t="s">
        <v>147</v>
      </c>
      <c r="E125" s="204"/>
      <c r="F125" s="204"/>
      <c r="G125" s="204"/>
      <c r="H125" s="35" t="s">
        <v>17</v>
      </c>
      <c r="I125" s="35" t="s">
        <v>13</v>
      </c>
      <c r="J125" s="35" t="s">
        <v>9</v>
      </c>
      <c r="K125" s="36">
        <v>28941.9</v>
      </c>
      <c r="L125" s="36"/>
      <c r="M125" s="36">
        <f t="shared" si="16"/>
        <v>28941.9</v>
      </c>
      <c r="N125" s="30"/>
      <c r="O125" s="36">
        <f>15000+17</f>
        <v>15017</v>
      </c>
      <c r="P125" s="36">
        <f>M125+O125</f>
        <v>43958.9</v>
      </c>
      <c r="Q125" s="30" t="s">
        <v>231</v>
      </c>
      <c r="R125" s="36">
        <f>2500+6440</f>
        <v>8940</v>
      </c>
      <c r="S125" s="36">
        <f>P125+R125</f>
        <v>52898.9</v>
      </c>
      <c r="T125" s="30" t="s">
        <v>290</v>
      </c>
    </row>
    <row r="126" spans="1:20" ht="171" hidden="1" customHeight="1" outlineLevel="1" x14ac:dyDescent="0.2">
      <c r="A126" s="33"/>
      <c r="B126" s="43"/>
      <c r="C126" s="43"/>
      <c r="D126" s="204" t="s">
        <v>148</v>
      </c>
      <c r="E126" s="204"/>
      <c r="F126" s="204"/>
      <c r="G126" s="204"/>
      <c r="H126" s="35" t="s">
        <v>17</v>
      </c>
      <c r="I126" s="35" t="s">
        <v>13</v>
      </c>
      <c r="J126" s="35" t="s">
        <v>8</v>
      </c>
      <c r="K126" s="36">
        <v>46773.5</v>
      </c>
      <c r="L126" s="36"/>
      <c r="M126" s="36">
        <f t="shared" si="16"/>
        <v>46773.5</v>
      </c>
      <c r="N126" s="30"/>
      <c r="O126" s="36">
        <f>70+4385.1-150+1229.1</f>
        <v>5534.2000000000007</v>
      </c>
      <c r="P126" s="36">
        <f>M126+O126</f>
        <v>52307.7</v>
      </c>
      <c r="Q126" s="30" t="s">
        <v>230</v>
      </c>
      <c r="R126" s="36">
        <f>100-30+214.2+23.8+130+1707.8</f>
        <v>2145.8000000000002</v>
      </c>
      <c r="S126" s="36">
        <f>P126+R126</f>
        <v>54453.5</v>
      </c>
      <c r="T126" s="30" t="s">
        <v>310</v>
      </c>
    </row>
    <row r="127" spans="1:20" ht="21.75" hidden="1" customHeight="1" outlineLevel="1" x14ac:dyDescent="0.2">
      <c r="A127" s="33"/>
      <c r="B127" s="43"/>
      <c r="C127" s="43"/>
      <c r="D127" s="204" t="s">
        <v>149</v>
      </c>
      <c r="E127" s="204"/>
      <c r="F127" s="204"/>
      <c r="G127" s="204"/>
      <c r="H127" s="35" t="s">
        <v>17</v>
      </c>
      <c r="I127" s="35" t="s">
        <v>13</v>
      </c>
      <c r="J127" s="35" t="s">
        <v>16</v>
      </c>
      <c r="K127" s="36">
        <v>8000</v>
      </c>
      <c r="L127" s="36"/>
      <c r="M127" s="36">
        <f t="shared" si="16"/>
        <v>8000</v>
      </c>
      <c r="N127" s="30"/>
      <c r="O127" s="36"/>
      <c r="P127" s="36">
        <f>M127+O127</f>
        <v>8000</v>
      </c>
      <c r="Q127" s="30"/>
      <c r="R127" s="36"/>
      <c r="S127" s="36">
        <f>P127+R127</f>
        <v>8000</v>
      </c>
      <c r="T127" s="30"/>
    </row>
    <row r="128" spans="1:20" ht="48.75" customHeight="1" collapsed="1" x14ac:dyDescent="0.2">
      <c r="A128" s="33"/>
      <c r="B128" s="43"/>
      <c r="C128" s="204" t="s">
        <v>307</v>
      </c>
      <c r="D128" s="204"/>
      <c r="E128" s="204"/>
      <c r="F128" s="204"/>
      <c r="G128" s="204"/>
      <c r="H128" s="35" t="s">
        <v>17</v>
      </c>
      <c r="I128" s="35">
        <v>4</v>
      </c>
      <c r="J128" s="35" t="s">
        <v>3</v>
      </c>
      <c r="K128" s="36">
        <f>K129</f>
        <v>0</v>
      </c>
      <c r="L128" s="36">
        <f t="shared" ref="L128:S128" si="17">L129</f>
        <v>0</v>
      </c>
      <c r="M128" s="36">
        <f t="shared" si="17"/>
        <v>0</v>
      </c>
      <c r="N128" s="36">
        <f t="shared" si="17"/>
        <v>0</v>
      </c>
      <c r="O128" s="36">
        <f t="shared" si="17"/>
        <v>0</v>
      </c>
      <c r="P128" s="36">
        <f t="shared" si="17"/>
        <v>0</v>
      </c>
      <c r="Q128" s="36">
        <f t="shared" si="17"/>
        <v>0</v>
      </c>
      <c r="R128" s="36">
        <f t="shared" si="17"/>
        <v>1000</v>
      </c>
      <c r="S128" s="36">
        <f t="shared" si="17"/>
        <v>1000</v>
      </c>
      <c r="T128" s="30" t="s">
        <v>309</v>
      </c>
    </row>
    <row r="129" spans="1:25" ht="39" hidden="1" customHeight="1" outlineLevel="1" x14ac:dyDescent="0.2">
      <c r="A129" s="33"/>
      <c r="B129" s="43"/>
      <c r="C129" s="43"/>
      <c r="D129" s="43"/>
      <c r="E129" s="43"/>
      <c r="F129" s="43"/>
      <c r="G129" s="43" t="s">
        <v>308</v>
      </c>
      <c r="H129" s="35">
        <v>20</v>
      </c>
      <c r="I129" s="35">
        <v>4</v>
      </c>
      <c r="J129" s="35">
        <v>1</v>
      </c>
      <c r="K129" s="36"/>
      <c r="L129" s="36"/>
      <c r="M129" s="36"/>
      <c r="N129" s="30"/>
      <c r="O129" s="36"/>
      <c r="P129" s="36"/>
      <c r="Q129" s="30"/>
      <c r="R129" s="36">
        <v>1000</v>
      </c>
      <c r="S129" s="36">
        <f>P129+R129</f>
        <v>1000</v>
      </c>
      <c r="T129" s="30" t="s">
        <v>309</v>
      </c>
    </row>
    <row r="130" spans="1:25" ht="39.75" customHeight="1" collapsed="1" x14ac:dyDescent="0.2">
      <c r="A130" s="33"/>
      <c r="B130" s="204" t="s">
        <v>150</v>
      </c>
      <c r="C130" s="204"/>
      <c r="D130" s="204"/>
      <c r="E130" s="204"/>
      <c r="F130" s="204"/>
      <c r="G130" s="204"/>
      <c r="H130" s="35" t="s">
        <v>15</v>
      </c>
      <c r="I130" s="35" t="s">
        <v>3</v>
      </c>
      <c r="J130" s="35" t="s">
        <v>3</v>
      </c>
      <c r="K130" s="36">
        <f>SUM(K131)</f>
        <v>1151.0999999999999</v>
      </c>
      <c r="L130" s="36">
        <f t="shared" ref="L130:S130" si="18">SUM(L131)</f>
        <v>0</v>
      </c>
      <c r="M130" s="36">
        <f t="shared" si="18"/>
        <v>1151.0999999999999</v>
      </c>
      <c r="N130" s="30"/>
      <c r="O130" s="36">
        <f t="shared" si="18"/>
        <v>0</v>
      </c>
      <c r="P130" s="36">
        <f t="shared" si="18"/>
        <v>1151.0999999999999</v>
      </c>
      <c r="Q130" s="30"/>
      <c r="R130" s="36">
        <f t="shared" si="18"/>
        <v>5.7</v>
      </c>
      <c r="S130" s="36">
        <f t="shared" si="18"/>
        <v>1156.8</v>
      </c>
      <c r="T130" s="30" t="s">
        <v>291</v>
      </c>
    </row>
    <row r="131" spans="1:25" ht="38.25" hidden="1" outlineLevel="1" x14ac:dyDescent="0.2">
      <c r="A131" s="33"/>
      <c r="B131" s="43"/>
      <c r="C131" s="43"/>
      <c r="D131" s="204" t="s">
        <v>151</v>
      </c>
      <c r="E131" s="204"/>
      <c r="F131" s="204"/>
      <c r="G131" s="204"/>
      <c r="H131" s="35" t="s">
        <v>15</v>
      </c>
      <c r="I131" s="35" t="s">
        <v>1</v>
      </c>
      <c r="J131" s="35" t="s">
        <v>9</v>
      </c>
      <c r="K131" s="36">
        <v>1151.0999999999999</v>
      </c>
      <c r="L131" s="36"/>
      <c r="M131" s="36">
        <f t="shared" si="16"/>
        <v>1151.0999999999999</v>
      </c>
      <c r="N131" s="30"/>
      <c r="O131" s="36"/>
      <c r="P131" s="36">
        <f>M131+O131</f>
        <v>1151.0999999999999</v>
      </c>
      <c r="Q131" s="30"/>
      <c r="R131" s="36">
        <v>5.7</v>
      </c>
      <c r="S131" s="36">
        <f>P131+R131</f>
        <v>1156.8</v>
      </c>
      <c r="T131" s="30" t="s">
        <v>291</v>
      </c>
    </row>
    <row r="132" spans="1:25" ht="30" customHeight="1" collapsed="1" x14ac:dyDescent="0.2">
      <c r="A132" s="33"/>
      <c r="B132" s="204" t="s">
        <v>152</v>
      </c>
      <c r="C132" s="204"/>
      <c r="D132" s="204"/>
      <c r="E132" s="204"/>
      <c r="F132" s="204"/>
      <c r="G132" s="204"/>
      <c r="H132" s="35" t="s">
        <v>14</v>
      </c>
      <c r="I132" s="35" t="s">
        <v>3</v>
      </c>
      <c r="J132" s="35" t="s">
        <v>3</v>
      </c>
      <c r="K132" s="36">
        <f>SUM(K133+K136+K138)</f>
        <v>453062.6</v>
      </c>
      <c r="L132" s="36">
        <f>SUM(L133+L136+L138)</f>
        <v>-10539.599999999999</v>
      </c>
      <c r="M132" s="36">
        <f>SUM(M133+M136+M138)</f>
        <v>442523</v>
      </c>
      <c r="N132" s="30"/>
      <c r="O132" s="36">
        <f>SUM(O133+O136+O138)</f>
        <v>-1039.4999999999998</v>
      </c>
      <c r="P132" s="36">
        <f>SUM(P133+P136+P138)</f>
        <v>441483.50000000006</v>
      </c>
      <c r="Q132" s="30"/>
      <c r="R132" s="36">
        <f>SUM(R133+R136+R138)</f>
        <v>12308.300000000001</v>
      </c>
      <c r="S132" s="36">
        <f>SUM(S133+S136+S138)</f>
        <v>453791.8</v>
      </c>
      <c r="T132" s="30"/>
    </row>
    <row r="133" spans="1:25" ht="270.75" customHeight="1" x14ac:dyDescent="0.2">
      <c r="A133" s="33"/>
      <c r="B133" s="34"/>
      <c r="C133" s="204" t="s">
        <v>153</v>
      </c>
      <c r="D133" s="204"/>
      <c r="E133" s="204"/>
      <c r="F133" s="204"/>
      <c r="G133" s="204"/>
      <c r="H133" s="35" t="s">
        <v>14</v>
      </c>
      <c r="I133" s="35" t="s">
        <v>12</v>
      </c>
      <c r="J133" s="35" t="s">
        <v>3</v>
      </c>
      <c r="K133" s="36">
        <f>SUM(K134:K135)</f>
        <v>201335.7</v>
      </c>
      <c r="L133" s="36">
        <f>SUM(L134:L135)</f>
        <v>0</v>
      </c>
      <c r="M133" s="36">
        <f>SUM(M134:M135)</f>
        <v>201335.7</v>
      </c>
      <c r="N133" s="30"/>
      <c r="O133" s="36">
        <f>SUM(O134:O135)</f>
        <v>-476.40000000000009</v>
      </c>
      <c r="P133" s="36">
        <f>SUM(P134:P135)</f>
        <v>200859.30000000002</v>
      </c>
      <c r="Q133" s="30" t="s">
        <v>237</v>
      </c>
      <c r="R133" s="36">
        <f>SUM(R134:R135)</f>
        <v>3011.5</v>
      </c>
      <c r="S133" s="36">
        <f>SUM(S134:S135)</f>
        <v>203870.8</v>
      </c>
      <c r="T133" s="30" t="s">
        <v>351</v>
      </c>
    </row>
    <row r="134" spans="1:25" ht="152.25" hidden="1" customHeight="1" outlineLevel="1" x14ac:dyDescent="0.2">
      <c r="A134" s="33"/>
      <c r="B134" s="34"/>
      <c r="C134" s="43"/>
      <c r="D134" s="204" t="s">
        <v>154</v>
      </c>
      <c r="E134" s="204"/>
      <c r="F134" s="204"/>
      <c r="G134" s="204"/>
      <c r="H134" s="35" t="s">
        <v>14</v>
      </c>
      <c r="I134" s="35" t="s">
        <v>12</v>
      </c>
      <c r="J134" s="35" t="s">
        <v>9</v>
      </c>
      <c r="K134" s="36">
        <v>169502.5</v>
      </c>
      <c r="L134" s="36"/>
      <c r="M134" s="36">
        <f t="shared" si="16"/>
        <v>169502.5</v>
      </c>
      <c r="N134" s="30"/>
      <c r="O134" s="36">
        <f>1056.8-600-60.6-1802.1</f>
        <v>-1405.9</v>
      </c>
      <c r="P134" s="36">
        <f>M134+O134</f>
        <v>168096.6</v>
      </c>
      <c r="Q134" s="38" t="s">
        <v>236</v>
      </c>
      <c r="R134" s="36">
        <f>3829.8-926.6-117.8+100+40</f>
        <v>2925.4</v>
      </c>
      <c r="S134" s="36">
        <f>P134+R134</f>
        <v>171022</v>
      </c>
      <c r="T134" s="38" t="s">
        <v>352</v>
      </c>
    </row>
    <row r="135" spans="1:25" ht="119.25" hidden="1" customHeight="1" outlineLevel="1" x14ac:dyDescent="0.2">
      <c r="A135" s="33"/>
      <c r="B135" s="34"/>
      <c r="C135" s="43"/>
      <c r="D135" s="204" t="s">
        <v>155</v>
      </c>
      <c r="E135" s="204"/>
      <c r="F135" s="204"/>
      <c r="G135" s="204"/>
      <c r="H135" s="35" t="s">
        <v>14</v>
      </c>
      <c r="I135" s="35" t="s">
        <v>12</v>
      </c>
      <c r="J135" s="35" t="s">
        <v>8</v>
      </c>
      <c r="K135" s="36">
        <v>31833.200000000001</v>
      </c>
      <c r="L135" s="36"/>
      <c r="M135" s="36">
        <f t="shared" si="16"/>
        <v>31833.200000000001</v>
      </c>
      <c r="N135" s="30"/>
      <c r="O135" s="36">
        <f>4.5+594.1+61.9+269</f>
        <v>929.5</v>
      </c>
      <c r="P135" s="36">
        <f>M135+O135</f>
        <v>32762.7</v>
      </c>
      <c r="Q135" s="30" t="s">
        <v>218</v>
      </c>
      <c r="R135" s="36">
        <f>-125.4+211.5</f>
        <v>86.1</v>
      </c>
      <c r="S135" s="36">
        <f>P135+R135</f>
        <v>32848.800000000003</v>
      </c>
      <c r="T135" s="30" t="s">
        <v>292</v>
      </c>
    </row>
    <row r="136" spans="1:25" ht="111" customHeight="1" collapsed="1" x14ac:dyDescent="0.2">
      <c r="A136" s="33"/>
      <c r="B136" s="34"/>
      <c r="C136" s="204" t="s">
        <v>156</v>
      </c>
      <c r="D136" s="204"/>
      <c r="E136" s="204"/>
      <c r="F136" s="204"/>
      <c r="G136" s="204"/>
      <c r="H136" s="35" t="s">
        <v>14</v>
      </c>
      <c r="I136" s="35" t="s">
        <v>10</v>
      </c>
      <c r="J136" s="35" t="s">
        <v>3</v>
      </c>
      <c r="K136" s="36">
        <f>SUM(K137)</f>
        <v>42940</v>
      </c>
      <c r="L136" s="36">
        <f t="shared" ref="L136:S136" si="19">SUM(L137)</f>
        <v>0</v>
      </c>
      <c r="M136" s="36">
        <f t="shared" si="19"/>
        <v>42940</v>
      </c>
      <c r="N136" s="30"/>
      <c r="O136" s="36">
        <f t="shared" si="19"/>
        <v>-352.70000000000005</v>
      </c>
      <c r="P136" s="36">
        <f t="shared" si="19"/>
        <v>42587.3</v>
      </c>
      <c r="Q136" s="30" t="s">
        <v>235</v>
      </c>
      <c r="R136" s="36">
        <f t="shared" si="19"/>
        <v>73.600000000000023</v>
      </c>
      <c r="S136" s="36">
        <f t="shared" si="19"/>
        <v>42660.9</v>
      </c>
      <c r="T136" s="30" t="s">
        <v>382</v>
      </c>
    </row>
    <row r="137" spans="1:25" ht="102" hidden="1" outlineLevel="1" x14ac:dyDescent="0.2">
      <c r="A137" s="33"/>
      <c r="B137" s="34"/>
      <c r="C137" s="43"/>
      <c r="D137" s="204" t="s">
        <v>157</v>
      </c>
      <c r="E137" s="204"/>
      <c r="F137" s="204"/>
      <c r="G137" s="204"/>
      <c r="H137" s="35" t="s">
        <v>14</v>
      </c>
      <c r="I137" s="35" t="s">
        <v>10</v>
      </c>
      <c r="J137" s="35" t="s">
        <v>9</v>
      </c>
      <c r="K137" s="36">
        <v>42940</v>
      </c>
      <c r="L137" s="36"/>
      <c r="M137" s="36">
        <f t="shared" si="16"/>
        <v>42940</v>
      </c>
      <c r="N137" s="30"/>
      <c r="O137" s="36">
        <f>235.9-588.6</f>
        <v>-352.70000000000005</v>
      </c>
      <c r="P137" s="36">
        <f>M137+O137</f>
        <v>42587.3</v>
      </c>
      <c r="Q137" s="30" t="s">
        <v>235</v>
      </c>
      <c r="R137" s="36">
        <f>-325.7+399.3</f>
        <v>73.600000000000023</v>
      </c>
      <c r="S137" s="36">
        <f>P137+R137</f>
        <v>42660.9</v>
      </c>
      <c r="T137" s="30" t="s">
        <v>345</v>
      </c>
      <c r="U137" s="62"/>
      <c r="Y137" s="62"/>
    </row>
    <row r="138" spans="1:25" ht="310.5" customHeight="1" collapsed="1" x14ac:dyDescent="0.2">
      <c r="A138" s="33"/>
      <c r="B138" s="34"/>
      <c r="C138" s="204" t="s">
        <v>158</v>
      </c>
      <c r="D138" s="204"/>
      <c r="E138" s="204"/>
      <c r="F138" s="204"/>
      <c r="G138" s="204"/>
      <c r="H138" s="35" t="s">
        <v>14</v>
      </c>
      <c r="I138" s="35" t="s">
        <v>13</v>
      </c>
      <c r="J138" s="35" t="s">
        <v>3</v>
      </c>
      <c r="K138" s="36">
        <f>SUM(K139:K140)</f>
        <v>208786.9</v>
      </c>
      <c r="L138" s="36">
        <f>SUM(L139:L140)</f>
        <v>-10539.599999999999</v>
      </c>
      <c r="M138" s="36">
        <f>SUM(M139:M140)</f>
        <v>198247.3</v>
      </c>
      <c r="N138" s="30" t="s">
        <v>197</v>
      </c>
      <c r="O138" s="36">
        <f>SUM(O139:O140)</f>
        <v>-210.39999999999964</v>
      </c>
      <c r="P138" s="36">
        <f>SUM(P139:P140)</f>
        <v>198036.90000000002</v>
      </c>
      <c r="Q138" s="30" t="s">
        <v>265</v>
      </c>
      <c r="R138" s="36">
        <f>SUM(R139:R140)</f>
        <v>9223.2000000000007</v>
      </c>
      <c r="S138" s="36">
        <f>SUM(S139:S140)</f>
        <v>207260.1</v>
      </c>
      <c r="T138" s="30" t="s">
        <v>383</v>
      </c>
    </row>
    <row r="139" spans="1:25" ht="67.5" hidden="1" customHeight="1" outlineLevel="1" x14ac:dyDescent="0.2">
      <c r="A139" s="33"/>
      <c r="B139" s="34"/>
      <c r="C139" s="34"/>
      <c r="D139" s="205" t="s">
        <v>159</v>
      </c>
      <c r="E139" s="205"/>
      <c r="F139" s="205"/>
      <c r="G139" s="205"/>
      <c r="H139" s="35" t="s">
        <v>14</v>
      </c>
      <c r="I139" s="35" t="s">
        <v>13</v>
      </c>
      <c r="J139" s="35" t="s">
        <v>9</v>
      </c>
      <c r="K139" s="36">
        <v>110151.9</v>
      </c>
      <c r="L139" s="36">
        <v>-2136.6999999999998</v>
      </c>
      <c r="M139" s="36">
        <f t="shared" si="16"/>
        <v>108015.2</v>
      </c>
      <c r="N139" s="30" t="s">
        <v>187</v>
      </c>
      <c r="O139" s="36">
        <f>-1620+627.7+175.9-219.1-1600</f>
        <v>-2635.5</v>
      </c>
      <c r="P139" s="36">
        <f>M139+O139</f>
        <v>105379.7</v>
      </c>
      <c r="Q139" s="30" t="s">
        <v>264</v>
      </c>
      <c r="R139" s="36">
        <f>2010+607.2+317.8</f>
        <v>2935</v>
      </c>
      <c r="S139" s="36">
        <f>P139+R139</f>
        <v>108314.7</v>
      </c>
      <c r="T139" s="30" t="s">
        <v>363</v>
      </c>
    </row>
    <row r="140" spans="1:25" ht="201" hidden="1" customHeight="1" outlineLevel="1" x14ac:dyDescent="0.2">
      <c r="A140" s="33"/>
      <c r="B140" s="34"/>
      <c r="C140" s="34"/>
      <c r="D140" s="205" t="s">
        <v>160</v>
      </c>
      <c r="E140" s="205"/>
      <c r="F140" s="205"/>
      <c r="G140" s="205"/>
      <c r="H140" s="35" t="s">
        <v>14</v>
      </c>
      <c r="I140" s="35" t="s">
        <v>13</v>
      </c>
      <c r="J140" s="35" t="s">
        <v>8</v>
      </c>
      <c r="K140" s="36">
        <v>98635</v>
      </c>
      <c r="L140" s="36">
        <f>-1965.5-6437.4</f>
        <v>-8402.9</v>
      </c>
      <c r="M140" s="36">
        <f t="shared" si="16"/>
        <v>90232.1</v>
      </c>
      <c r="N140" s="30" t="s">
        <v>196</v>
      </c>
      <c r="O140" s="36">
        <f>-4000+5426.3+114.9+100+1520.9-737</f>
        <v>2425.1000000000004</v>
      </c>
      <c r="P140" s="36">
        <f>M140+O140</f>
        <v>92657.200000000012</v>
      </c>
      <c r="Q140" s="30" t="s">
        <v>238</v>
      </c>
      <c r="R140" s="36">
        <f>500+52.7+4013.1+258.7-339.8+23.6+1779.9</f>
        <v>6288.2000000000007</v>
      </c>
      <c r="S140" s="36">
        <f>P140+R140</f>
        <v>98945.400000000009</v>
      </c>
      <c r="T140" s="30" t="s">
        <v>364</v>
      </c>
    </row>
    <row r="141" spans="1:25" ht="37.5" customHeight="1" collapsed="1" x14ac:dyDescent="0.2">
      <c r="A141" s="33"/>
      <c r="B141" s="204" t="s">
        <v>161</v>
      </c>
      <c r="C141" s="204"/>
      <c r="D141" s="204"/>
      <c r="E141" s="204"/>
      <c r="F141" s="204"/>
      <c r="G141" s="204"/>
      <c r="H141" s="35" t="s">
        <v>11</v>
      </c>
      <c r="I141" s="35" t="s">
        <v>3</v>
      </c>
      <c r="J141" s="35" t="s">
        <v>3</v>
      </c>
      <c r="K141" s="36">
        <f>K142+K144</f>
        <v>28278</v>
      </c>
      <c r="L141" s="36">
        <f>L142+L144</f>
        <v>0</v>
      </c>
      <c r="M141" s="36">
        <f>M142+M144</f>
        <v>28278</v>
      </c>
      <c r="N141" s="30"/>
      <c r="O141" s="36">
        <f>O142+O144</f>
        <v>-6180.6</v>
      </c>
      <c r="P141" s="36">
        <f>P142+P144</f>
        <v>22097.4</v>
      </c>
      <c r="Q141" s="30"/>
      <c r="R141" s="36">
        <f>R142+R144</f>
        <v>-14.2</v>
      </c>
      <c r="S141" s="36">
        <f>S142+S144</f>
        <v>22083.199999999997</v>
      </c>
      <c r="T141" s="30"/>
    </row>
    <row r="142" spans="1:25" ht="30.75" customHeight="1" x14ac:dyDescent="0.2">
      <c r="A142" s="33"/>
      <c r="B142" s="43"/>
      <c r="C142" s="204" t="s">
        <v>162</v>
      </c>
      <c r="D142" s="204"/>
      <c r="E142" s="204"/>
      <c r="F142" s="204"/>
      <c r="G142" s="204"/>
      <c r="H142" s="35" t="s">
        <v>11</v>
      </c>
      <c r="I142" s="35" t="s">
        <v>12</v>
      </c>
      <c r="J142" s="35" t="s">
        <v>3</v>
      </c>
      <c r="K142" s="36">
        <f>SUM(K143)</f>
        <v>18852</v>
      </c>
      <c r="L142" s="36">
        <f t="shared" ref="L142:S142" si="20">SUM(L143)</f>
        <v>0</v>
      </c>
      <c r="M142" s="36">
        <f t="shared" si="20"/>
        <v>18852</v>
      </c>
      <c r="N142" s="30"/>
      <c r="O142" s="36">
        <f t="shared" si="20"/>
        <v>-8180.6</v>
      </c>
      <c r="P142" s="36">
        <f t="shared" si="20"/>
        <v>10671.4</v>
      </c>
      <c r="Q142" s="30" t="s">
        <v>211</v>
      </c>
      <c r="R142" s="36">
        <f t="shared" si="20"/>
        <v>0</v>
      </c>
      <c r="S142" s="36">
        <f t="shared" si="20"/>
        <v>10671.4</v>
      </c>
      <c r="T142" s="30"/>
    </row>
    <row r="143" spans="1:25" ht="44.25" hidden="1" customHeight="1" outlineLevel="1" x14ac:dyDescent="0.2">
      <c r="A143" s="33"/>
      <c r="B143" s="43"/>
      <c r="C143" s="43"/>
      <c r="D143" s="204" t="s">
        <v>163</v>
      </c>
      <c r="E143" s="204"/>
      <c r="F143" s="204"/>
      <c r="G143" s="204"/>
      <c r="H143" s="35" t="s">
        <v>11</v>
      </c>
      <c r="I143" s="35" t="s">
        <v>12</v>
      </c>
      <c r="J143" s="35" t="s">
        <v>9</v>
      </c>
      <c r="K143" s="36">
        <v>18852</v>
      </c>
      <c r="L143" s="36"/>
      <c r="M143" s="36">
        <f t="shared" ref="M143:M152" si="21">K143+L143</f>
        <v>18852</v>
      </c>
      <c r="N143" s="30"/>
      <c r="O143" s="36">
        <v>-8180.6</v>
      </c>
      <c r="P143" s="36">
        <f>M143+O143</f>
        <v>10671.4</v>
      </c>
      <c r="Q143" s="30" t="s">
        <v>211</v>
      </c>
      <c r="R143" s="36"/>
      <c r="S143" s="36">
        <f>P143+R143</f>
        <v>10671.4</v>
      </c>
      <c r="T143" s="30"/>
    </row>
    <row r="144" spans="1:25" ht="42.75" customHeight="1" collapsed="1" x14ac:dyDescent="0.2">
      <c r="A144" s="33"/>
      <c r="B144" s="43"/>
      <c r="C144" s="204" t="s">
        <v>164</v>
      </c>
      <c r="D144" s="204"/>
      <c r="E144" s="204"/>
      <c r="F144" s="204"/>
      <c r="G144" s="204"/>
      <c r="H144" s="35" t="s">
        <v>11</v>
      </c>
      <c r="I144" s="35" t="s">
        <v>10</v>
      </c>
      <c r="J144" s="35" t="s">
        <v>3</v>
      </c>
      <c r="K144" s="36">
        <f>SUM(K145)</f>
        <v>9426</v>
      </c>
      <c r="L144" s="36">
        <f>SUM(L145)</f>
        <v>0</v>
      </c>
      <c r="M144" s="36">
        <f>SUM(M145)</f>
        <v>9426</v>
      </c>
      <c r="N144" s="30"/>
      <c r="O144" s="36">
        <f>SUM(O145)</f>
        <v>2000</v>
      </c>
      <c r="P144" s="36">
        <f>SUM(P145)</f>
        <v>11426</v>
      </c>
      <c r="Q144" s="30" t="s">
        <v>203</v>
      </c>
      <c r="R144" s="36">
        <f>SUM(R145)</f>
        <v>-14.2</v>
      </c>
      <c r="S144" s="36">
        <f>SUM(S145)</f>
        <v>11411.8</v>
      </c>
      <c r="T144" s="30" t="s">
        <v>346</v>
      </c>
    </row>
    <row r="145" spans="1:20" ht="38.25" hidden="1" outlineLevel="1" x14ac:dyDescent="0.2">
      <c r="A145" s="33"/>
      <c r="B145" s="43"/>
      <c r="C145" s="43"/>
      <c r="D145" s="204" t="s">
        <v>165</v>
      </c>
      <c r="E145" s="204"/>
      <c r="F145" s="204"/>
      <c r="G145" s="204"/>
      <c r="H145" s="35" t="s">
        <v>11</v>
      </c>
      <c r="I145" s="35" t="s">
        <v>10</v>
      </c>
      <c r="J145" s="35" t="s">
        <v>9</v>
      </c>
      <c r="K145" s="36">
        <v>9426</v>
      </c>
      <c r="L145" s="36"/>
      <c r="M145" s="36">
        <f t="shared" si="21"/>
        <v>9426</v>
      </c>
      <c r="N145" s="30"/>
      <c r="O145" s="36">
        <v>2000</v>
      </c>
      <c r="P145" s="36">
        <f>M145+O145</f>
        <v>11426</v>
      </c>
      <c r="Q145" s="30" t="s">
        <v>203</v>
      </c>
      <c r="R145" s="36">
        <f>-14.2</f>
        <v>-14.2</v>
      </c>
      <c r="S145" s="36">
        <f>P145+R145</f>
        <v>11411.8</v>
      </c>
      <c r="T145" s="30" t="s">
        <v>298</v>
      </c>
    </row>
    <row r="146" spans="1:20" ht="12.75" customHeight="1" collapsed="1" x14ac:dyDescent="0.2">
      <c r="A146" s="33"/>
      <c r="B146" s="204" t="s">
        <v>166</v>
      </c>
      <c r="C146" s="204"/>
      <c r="D146" s="204"/>
      <c r="E146" s="204"/>
      <c r="F146" s="204"/>
      <c r="G146" s="204"/>
      <c r="H146" s="35" t="s">
        <v>2</v>
      </c>
      <c r="I146" s="35" t="s">
        <v>3</v>
      </c>
      <c r="J146" s="35" t="s">
        <v>3</v>
      </c>
      <c r="K146" s="36">
        <f>K147</f>
        <v>88047.4</v>
      </c>
      <c r="L146" s="36">
        <f t="shared" ref="L146:S146" si="22">L147</f>
        <v>0</v>
      </c>
      <c r="M146" s="36">
        <f t="shared" si="22"/>
        <v>88047.4</v>
      </c>
      <c r="N146" s="30"/>
      <c r="O146" s="36">
        <f t="shared" si="22"/>
        <v>1407</v>
      </c>
      <c r="P146" s="36">
        <f t="shared" si="22"/>
        <v>89454.399999999994</v>
      </c>
      <c r="Q146" s="30"/>
      <c r="R146" s="36">
        <f t="shared" si="22"/>
        <v>9294.7999999999993</v>
      </c>
      <c r="S146" s="36">
        <f t="shared" si="22"/>
        <v>98749.200000000012</v>
      </c>
      <c r="T146" s="30"/>
    </row>
    <row r="147" spans="1:20" ht="12.75" customHeight="1" x14ac:dyDescent="0.2">
      <c r="A147" s="33"/>
      <c r="B147" s="43"/>
      <c r="C147" s="204" t="s">
        <v>166</v>
      </c>
      <c r="D147" s="204"/>
      <c r="E147" s="204"/>
      <c r="F147" s="204"/>
      <c r="G147" s="204"/>
      <c r="H147" s="35" t="s">
        <v>2</v>
      </c>
      <c r="I147" s="35" t="s">
        <v>1</v>
      </c>
      <c r="J147" s="35" t="s">
        <v>3</v>
      </c>
      <c r="K147" s="36">
        <f>K148+K149+K150+K151+K152</f>
        <v>88047.4</v>
      </c>
      <c r="L147" s="36">
        <f>L148+L149+L150+L151+L152</f>
        <v>0</v>
      </c>
      <c r="M147" s="36">
        <f>M148+M149+M150+M151+M152</f>
        <v>88047.4</v>
      </c>
      <c r="N147" s="30"/>
      <c r="O147" s="36">
        <f>O148+O149+O150+O151+O152</f>
        <v>1407</v>
      </c>
      <c r="P147" s="36">
        <f>P148+P149+P150+P151+P152</f>
        <v>89454.399999999994</v>
      </c>
      <c r="Q147" s="30"/>
      <c r="R147" s="36">
        <f>R148+R149+R150+R151+R152</f>
        <v>9294.7999999999993</v>
      </c>
      <c r="S147" s="36">
        <f>S148+S149+S150+S151+S152</f>
        <v>98749.200000000012</v>
      </c>
      <c r="T147" s="30"/>
    </row>
    <row r="148" spans="1:20" ht="52.5" customHeight="1" x14ac:dyDescent="0.2">
      <c r="A148" s="33"/>
      <c r="B148" s="43"/>
      <c r="C148" s="43"/>
      <c r="D148" s="204" t="s">
        <v>167</v>
      </c>
      <c r="E148" s="204"/>
      <c r="F148" s="204"/>
      <c r="G148" s="204"/>
      <c r="H148" s="35" t="s">
        <v>2</v>
      </c>
      <c r="I148" s="35" t="s">
        <v>1</v>
      </c>
      <c r="J148" s="35" t="s">
        <v>9</v>
      </c>
      <c r="K148" s="36">
        <v>20061.3</v>
      </c>
      <c r="L148" s="36"/>
      <c r="M148" s="36">
        <f t="shared" si="21"/>
        <v>20061.3</v>
      </c>
      <c r="N148" s="30"/>
      <c r="O148" s="36">
        <v>-238.6</v>
      </c>
      <c r="P148" s="36">
        <f>M148+O148</f>
        <v>19822.7</v>
      </c>
      <c r="Q148" s="30" t="s">
        <v>239</v>
      </c>
      <c r="R148" s="36">
        <f>276.1+321.8+250.9-70+61.3+157+44.6+57.5</f>
        <v>1099.2</v>
      </c>
      <c r="S148" s="36">
        <f>P148+R148</f>
        <v>20921.900000000001</v>
      </c>
      <c r="T148" s="31" t="s">
        <v>347</v>
      </c>
    </row>
    <row r="149" spans="1:20" ht="63.75" x14ac:dyDescent="0.2">
      <c r="A149" s="33"/>
      <c r="B149" s="43"/>
      <c r="C149" s="43"/>
      <c r="D149" s="204" t="s">
        <v>168</v>
      </c>
      <c r="E149" s="204"/>
      <c r="F149" s="204"/>
      <c r="G149" s="204"/>
      <c r="H149" s="35" t="s">
        <v>2</v>
      </c>
      <c r="I149" s="35" t="s">
        <v>1</v>
      </c>
      <c r="J149" s="35" t="s">
        <v>8</v>
      </c>
      <c r="K149" s="36">
        <v>13146.8</v>
      </c>
      <c r="L149" s="36"/>
      <c r="M149" s="36">
        <f t="shared" si="21"/>
        <v>13146.8</v>
      </c>
      <c r="N149" s="30"/>
      <c r="O149" s="36">
        <f>-10-50-494.4</f>
        <v>-554.4</v>
      </c>
      <c r="P149" s="36">
        <f>M149+O149</f>
        <v>12592.4</v>
      </c>
      <c r="Q149" s="30" t="s">
        <v>240</v>
      </c>
      <c r="R149" s="36">
        <f>10+1122.7-141.9+312</f>
        <v>1302.8000000000002</v>
      </c>
      <c r="S149" s="36">
        <f>P149+R149</f>
        <v>13895.2</v>
      </c>
      <c r="T149" s="30" t="s">
        <v>348</v>
      </c>
    </row>
    <row r="150" spans="1:20" ht="23.25" customHeight="1" x14ac:dyDescent="0.2">
      <c r="A150" s="33"/>
      <c r="B150" s="43"/>
      <c r="C150" s="43"/>
      <c r="D150" s="204" t="s">
        <v>169</v>
      </c>
      <c r="E150" s="204"/>
      <c r="F150" s="204"/>
      <c r="G150" s="204"/>
      <c r="H150" s="35" t="s">
        <v>2</v>
      </c>
      <c r="I150" s="35" t="s">
        <v>1</v>
      </c>
      <c r="J150" s="35" t="s">
        <v>7</v>
      </c>
      <c r="K150" s="36">
        <v>2000</v>
      </c>
      <c r="L150" s="36"/>
      <c r="M150" s="36">
        <f t="shared" si="21"/>
        <v>2000</v>
      </c>
      <c r="N150" s="30"/>
      <c r="O150" s="36">
        <v>-400</v>
      </c>
      <c r="P150" s="36">
        <f>M150+O150</f>
        <v>1600</v>
      </c>
      <c r="Q150" s="30" t="s">
        <v>266</v>
      </c>
      <c r="R150" s="36"/>
      <c r="S150" s="36">
        <f>P150+R150</f>
        <v>1600</v>
      </c>
      <c r="T150" s="30"/>
    </row>
    <row r="151" spans="1:20" ht="89.25" customHeight="1" x14ac:dyDescent="0.2">
      <c r="A151" s="33"/>
      <c r="B151" s="43"/>
      <c r="C151" s="43"/>
      <c r="D151" s="204" t="s">
        <v>170</v>
      </c>
      <c r="E151" s="204"/>
      <c r="F151" s="204"/>
      <c r="G151" s="204"/>
      <c r="H151" s="35" t="s">
        <v>2</v>
      </c>
      <c r="I151" s="35" t="s">
        <v>1</v>
      </c>
      <c r="J151" s="35" t="s">
        <v>6</v>
      </c>
      <c r="K151" s="36">
        <v>9645</v>
      </c>
      <c r="L151" s="36"/>
      <c r="M151" s="36">
        <f t="shared" si="21"/>
        <v>9645</v>
      </c>
      <c r="N151" s="30"/>
      <c r="O151" s="36">
        <f>600+400+1600</f>
        <v>2600</v>
      </c>
      <c r="P151" s="36">
        <f>M151+O151</f>
        <v>12245</v>
      </c>
      <c r="Q151" s="30" t="s">
        <v>267</v>
      </c>
      <c r="R151" s="36">
        <f>960+2212.4+200+0.5</f>
        <v>3372.9</v>
      </c>
      <c r="S151" s="36">
        <f>P151+R151</f>
        <v>15617.9</v>
      </c>
      <c r="T151" s="30" t="s">
        <v>353</v>
      </c>
    </row>
    <row r="152" spans="1:20" ht="133.5" customHeight="1" thickBot="1" x14ac:dyDescent="0.25">
      <c r="A152" s="33"/>
      <c r="B152" s="43"/>
      <c r="C152" s="43"/>
      <c r="D152" s="204" t="s">
        <v>155</v>
      </c>
      <c r="E152" s="204"/>
      <c r="F152" s="204"/>
      <c r="G152" s="204"/>
      <c r="H152" s="35" t="s">
        <v>2</v>
      </c>
      <c r="I152" s="35" t="s">
        <v>1</v>
      </c>
      <c r="J152" s="35" t="s">
        <v>5</v>
      </c>
      <c r="K152" s="36">
        <v>43194.3</v>
      </c>
      <c r="L152" s="36"/>
      <c r="M152" s="36">
        <f t="shared" si="21"/>
        <v>43194.3</v>
      </c>
      <c r="N152" s="30"/>
      <c r="O152" s="36"/>
      <c r="P152" s="36">
        <f>M152+O152</f>
        <v>43194.3</v>
      </c>
      <c r="Q152" s="30"/>
      <c r="R152" s="36">
        <f>-480.1+2500+1500</f>
        <v>3519.9</v>
      </c>
      <c r="S152" s="36">
        <f>P152+R152</f>
        <v>46714.200000000004</v>
      </c>
      <c r="T152" s="30" t="s">
        <v>384</v>
      </c>
    </row>
    <row r="153" spans="1:20" ht="21.75" hidden="1" customHeight="1" thickBot="1" x14ac:dyDescent="0.25">
      <c r="A153" s="33"/>
      <c r="B153" s="34"/>
      <c r="C153" s="34"/>
      <c r="D153" s="205" t="s">
        <v>4</v>
      </c>
      <c r="E153" s="205"/>
      <c r="F153" s="205"/>
      <c r="G153" s="233"/>
      <c r="H153" s="63" t="s">
        <v>2</v>
      </c>
      <c r="I153" s="63" t="s">
        <v>1</v>
      </c>
      <c r="J153" s="63" t="s">
        <v>0</v>
      </c>
      <c r="K153" s="64">
        <v>0</v>
      </c>
      <c r="L153" s="64">
        <v>0</v>
      </c>
      <c r="M153" s="64">
        <f>K153+L153</f>
        <v>0</v>
      </c>
      <c r="N153" s="65"/>
      <c r="O153" s="64">
        <v>0</v>
      </c>
      <c r="P153" s="64">
        <f>N153+O153</f>
        <v>0</v>
      </c>
      <c r="Q153" s="65"/>
      <c r="R153" s="64">
        <v>0</v>
      </c>
      <c r="S153" s="64">
        <f>Q153+R153</f>
        <v>0</v>
      </c>
      <c r="T153" s="65"/>
    </row>
    <row r="154" spans="1:20" ht="12.75" customHeight="1" thickBot="1" x14ac:dyDescent="0.25">
      <c r="A154" s="14"/>
      <c r="B154" s="16"/>
      <c r="C154" s="16"/>
      <c r="D154" s="16"/>
      <c r="E154" s="16"/>
      <c r="F154" s="17"/>
      <c r="G154" s="20"/>
      <c r="H154" s="39" t="s">
        <v>2</v>
      </c>
      <c r="I154" s="39" t="s">
        <v>1</v>
      </c>
      <c r="J154" s="39" t="s">
        <v>0</v>
      </c>
      <c r="K154" s="66">
        <f>K8+K16+K21+K23+K25+K30+K42+K44+K47+K55+K60+K71+K75+K83+K100+K102+K105+K113+K115+K130+K132+K141+K146</f>
        <v>4118675.9</v>
      </c>
      <c r="L154" s="66">
        <f>L8+L16+L21+L23+L25+L30+L42+L44+L47+L55+L60+L71+L75+L83+L100+L102+L105+L113+L115+L130+L132+L141+L146</f>
        <v>17838.200000000004</v>
      </c>
      <c r="M154" s="66">
        <f>M8+M16+M21+M23+M25+M30+M42+M44+M47+M55+M60+M71+M75+M83+M100+M102+M105+M113+M115+M130+M132+M141+M146</f>
        <v>4136514.0999999996</v>
      </c>
      <c r="N154" s="40"/>
      <c r="O154" s="66">
        <f>O8+O16+O21+O23+O25+O30+O42+O44+O47+O55+O60+O71+O75+O83+O100+O102+O105+O113+O115+O130+O132+O141+O146</f>
        <v>169718.00000000006</v>
      </c>
      <c r="P154" s="66">
        <f>P8+P16+P21+P23+P25+P30+P42+P44+P47+P55+P60+P71+P75+P83+P100+P102+P105+P113+P115+P130+P132+P141+P146</f>
        <v>4306432.2000000011</v>
      </c>
      <c r="Q154" s="40"/>
      <c r="R154" s="66">
        <f>R8+R16+R21+R23+R25+R30+R42+R44+R47+R55+R60+R71+R75+R83+R100+R102+R105+R113+R115+R130+R132+R141+R146</f>
        <v>375186.30000000005</v>
      </c>
      <c r="S154" s="66">
        <f>S8+S16+S21+S23+S25+S30+S42+S44+S47+S55+S60+S71+S75+S83+S100+S102+S105+S113+S115+S130+S132+S141+S146</f>
        <v>4681618.3999999994</v>
      </c>
      <c r="T154" s="40"/>
    </row>
    <row r="155" spans="1:20" ht="12.75" hidden="1" customHeight="1" x14ac:dyDescent="0.2">
      <c r="A155" s="5"/>
      <c r="B155" s="4"/>
      <c r="C155" s="3"/>
      <c r="D155" s="3"/>
      <c r="E155" s="3"/>
      <c r="F155" s="3"/>
      <c r="G155" s="19"/>
      <c r="H155" s="41">
        <v>0</v>
      </c>
      <c r="I155" s="41">
        <v>0</v>
      </c>
      <c r="J155" s="41"/>
      <c r="K155" s="41">
        <v>0</v>
      </c>
      <c r="L155" s="41">
        <v>0</v>
      </c>
      <c r="M155" s="41">
        <v>0</v>
      </c>
      <c r="N155" s="42">
        <v>0</v>
      </c>
      <c r="O155" s="41">
        <v>0</v>
      </c>
      <c r="P155" s="41">
        <v>0</v>
      </c>
      <c r="Q155" s="42">
        <v>0</v>
      </c>
      <c r="R155" s="41">
        <v>0</v>
      </c>
      <c r="S155" s="41">
        <v>0</v>
      </c>
      <c r="T155" s="42">
        <v>0</v>
      </c>
    </row>
    <row r="156" spans="1:20" ht="12.75" customHeight="1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67"/>
      <c r="L156" s="67"/>
      <c r="M156" s="67"/>
      <c r="N156" s="48"/>
      <c r="O156" s="67"/>
      <c r="P156" s="67"/>
      <c r="Q156" s="48"/>
      <c r="R156" s="67"/>
      <c r="S156" s="67"/>
      <c r="T156" s="48"/>
    </row>
  </sheetData>
  <mergeCells count="168">
    <mergeCell ref="D152:G152"/>
    <mergeCell ref="D153:G153"/>
    <mergeCell ref="B146:G146"/>
    <mergeCell ref="C147:G147"/>
    <mergeCell ref="D148:G148"/>
    <mergeCell ref="D149:G149"/>
    <mergeCell ref="D150:G150"/>
    <mergeCell ref="D151:G151"/>
    <mergeCell ref="D140:G140"/>
    <mergeCell ref="B141:G141"/>
    <mergeCell ref="C142:G142"/>
    <mergeCell ref="D143:G143"/>
    <mergeCell ref="C144:G144"/>
    <mergeCell ref="D145:G145"/>
    <mergeCell ref="D134:G134"/>
    <mergeCell ref="D135:G135"/>
    <mergeCell ref="C136:G136"/>
    <mergeCell ref="D137:G137"/>
    <mergeCell ref="C138:G138"/>
    <mergeCell ref="D139:G139"/>
    <mergeCell ref="D127:G127"/>
    <mergeCell ref="C128:G128"/>
    <mergeCell ref="B130:G130"/>
    <mergeCell ref="D131:G131"/>
    <mergeCell ref="B132:G132"/>
    <mergeCell ref="C133:G133"/>
    <mergeCell ref="C121:G121"/>
    <mergeCell ref="D122:G122"/>
    <mergeCell ref="D123:G123"/>
    <mergeCell ref="C124:G124"/>
    <mergeCell ref="D125:G125"/>
    <mergeCell ref="D126:G126"/>
    <mergeCell ref="R116:R117"/>
    <mergeCell ref="S116:S117"/>
    <mergeCell ref="T116:T117"/>
    <mergeCell ref="D118:G118"/>
    <mergeCell ref="D119:G119"/>
    <mergeCell ref="D120:G120"/>
    <mergeCell ref="H116:H117"/>
    <mergeCell ref="I116:I117"/>
    <mergeCell ref="J116:J117"/>
    <mergeCell ref="K116:K117"/>
    <mergeCell ref="M116:M117"/>
    <mergeCell ref="P116:P117"/>
    <mergeCell ref="C111:G111"/>
    <mergeCell ref="D112:G112"/>
    <mergeCell ref="B113:G113"/>
    <mergeCell ref="D114:G114"/>
    <mergeCell ref="B115:G115"/>
    <mergeCell ref="C116:G117"/>
    <mergeCell ref="B105:G105"/>
    <mergeCell ref="C106:G106"/>
    <mergeCell ref="D107:G107"/>
    <mergeCell ref="D108:G108"/>
    <mergeCell ref="D109:G109"/>
    <mergeCell ref="D110:G110"/>
    <mergeCell ref="D99:G99"/>
    <mergeCell ref="B100:G100"/>
    <mergeCell ref="D101:G101"/>
    <mergeCell ref="B102:G102"/>
    <mergeCell ref="D103:G103"/>
    <mergeCell ref="D104:G104"/>
    <mergeCell ref="D92:G92"/>
    <mergeCell ref="C94:G94"/>
    <mergeCell ref="D95:G95"/>
    <mergeCell ref="C96:G96"/>
    <mergeCell ref="D97:G97"/>
    <mergeCell ref="C98:G98"/>
    <mergeCell ref="D85:G85"/>
    <mergeCell ref="D86:G86"/>
    <mergeCell ref="D88:G88"/>
    <mergeCell ref="C89:G89"/>
    <mergeCell ref="D90:G90"/>
    <mergeCell ref="D91:G91"/>
    <mergeCell ref="C79:G79"/>
    <mergeCell ref="D80:G80"/>
    <mergeCell ref="C81:G81"/>
    <mergeCell ref="D82:G82"/>
    <mergeCell ref="B83:G83"/>
    <mergeCell ref="C84:G84"/>
    <mergeCell ref="D73:G73"/>
    <mergeCell ref="D74:G74"/>
    <mergeCell ref="B75:G75"/>
    <mergeCell ref="C76:G76"/>
    <mergeCell ref="D77:G77"/>
    <mergeCell ref="D78:G78"/>
    <mergeCell ref="C66:G66"/>
    <mergeCell ref="D68:G68"/>
    <mergeCell ref="C69:G69"/>
    <mergeCell ref="D70:G70"/>
    <mergeCell ref="B71:G71"/>
    <mergeCell ref="D72:G72"/>
    <mergeCell ref="B60:G60"/>
    <mergeCell ref="C61:G61"/>
    <mergeCell ref="D62:G62"/>
    <mergeCell ref="C63:G63"/>
    <mergeCell ref="D64:G64"/>
    <mergeCell ref="D65:G65"/>
    <mergeCell ref="D54:G54"/>
    <mergeCell ref="B55:G55"/>
    <mergeCell ref="D56:G56"/>
    <mergeCell ref="D57:G57"/>
    <mergeCell ref="D58:G58"/>
    <mergeCell ref="D59:G59"/>
    <mergeCell ref="C48:G48"/>
    <mergeCell ref="D49:G49"/>
    <mergeCell ref="D50:G50"/>
    <mergeCell ref="D51:G51"/>
    <mergeCell ref="C52:G52"/>
    <mergeCell ref="D53:G53"/>
    <mergeCell ref="D41:G41"/>
    <mergeCell ref="B42:G42"/>
    <mergeCell ref="D43:G43"/>
    <mergeCell ref="B44:G44"/>
    <mergeCell ref="D45:G45"/>
    <mergeCell ref="B47:G47"/>
    <mergeCell ref="D35:G35"/>
    <mergeCell ref="C36:G36"/>
    <mergeCell ref="D37:G37"/>
    <mergeCell ref="D38:G38"/>
    <mergeCell ref="C39:G39"/>
    <mergeCell ref="D40:G40"/>
    <mergeCell ref="C29:G29"/>
    <mergeCell ref="B30:G30"/>
    <mergeCell ref="C31:G31"/>
    <mergeCell ref="D32:G32"/>
    <mergeCell ref="D33:G33"/>
    <mergeCell ref="D34:G34"/>
    <mergeCell ref="B23:G23"/>
    <mergeCell ref="D24:G24"/>
    <mergeCell ref="B25:G25"/>
    <mergeCell ref="C26:G26"/>
    <mergeCell ref="D27:G27"/>
    <mergeCell ref="D28:G28"/>
    <mergeCell ref="D17:G17"/>
    <mergeCell ref="D18:G18"/>
    <mergeCell ref="D19:G19"/>
    <mergeCell ref="D20:G20"/>
    <mergeCell ref="B21:G21"/>
    <mergeCell ref="D22:G22"/>
    <mergeCell ref="C11:G11"/>
    <mergeCell ref="D12:G12"/>
    <mergeCell ref="C13:G13"/>
    <mergeCell ref="D14:G14"/>
    <mergeCell ref="D15:G15"/>
    <mergeCell ref="B16:G16"/>
    <mergeCell ref="R4:R6"/>
    <mergeCell ref="S4:S6"/>
    <mergeCell ref="T4:T6"/>
    <mergeCell ref="B8:G8"/>
    <mergeCell ref="C9:G9"/>
    <mergeCell ref="D10:G10"/>
    <mergeCell ref="H4:J6"/>
    <mergeCell ref="K4:K6"/>
    <mergeCell ref="L4:L6"/>
    <mergeCell ref="M4:M6"/>
    <mergeCell ref="O4:O6"/>
    <mergeCell ref="P4:P6"/>
    <mergeCell ref="P1:Q1"/>
    <mergeCell ref="S1:T1"/>
    <mergeCell ref="P2:Q2"/>
    <mergeCell ref="S2:T2"/>
    <mergeCell ref="B4:B6"/>
    <mergeCell ref="C4:C6"/>
    <mergeCell ref="D4:D6"/>
    <mergeCell ref="E4:E6"/>
    <mergeCell ref="F4:F6"/>
    <mergeCell ref="G4:G6"/>
  </mergeCells>
  <pageMargins left="0.23622047244094491" right="0.23622047244094491" top="0.74803149606299213" bottom="0.15748031496062992" header="0.31496062992125984" footer="0.31496062992125984"/>
  <pageSetup paperSize="8" scale="94" fitToHeight="0" orientation="landscape" r:id="rId1"/>
  <headerFooter alignWithMargins="0"/>
  <rowBreaks count="1" manualBreakCount="1">
    <brk id="11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2</vt:lpstr>
      <vt:lpstr>приложение 2 (для Мартынюк)</vt:lpstr>
      <vt:lpstr>'приложение 2'!Заголовки_для_печати</vt:lpstr>
      <vt:lpstr>'приложение 2 (для Мартынюк)'!Заголовки_для_печати</vt:lpstr>
      <vt:lpstr>'приложение 2'!Область_печати</vt:lpstr>
      <vt:lpstr>'приложение 2 (для Мартынюк)'!Область_печати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Юлия Александровна</dc:creator>
  <cp:lastModifiedBy>Кузнецова Александра Евгеньевна</cp:lastModifiedBy>
  <cp:lastPrinted>2018-12-11T09:38:12Z</cp:lastPrinted>
  <dcterms:created xsi:type="dcterms:W3CDTF">2018-01-19T06:00:59Z</dcterms:created>
  <dcterms:modified xsi:type="dcterms:W3CDTF">2018-12-11T09:41:37Z</dcterms:modified>
</cp:coreProperties>
</file>