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УТОЧНЕНИЕ БЮДЖЕТА\2025\УТОЧНЕНИЕ БЮДЖЕТА\2.сентябрь\Пояснительная записка\"/>
    </mc:Choice>
  </mc:AlternateContent>
  <bookViews>
    <workbookView xWindow="360" yWindow="15" windowWidth="20955" windowHeight="9720"/>
  </bookViews>
  <sheets>
    <sheet name="прил." sheetId="1" r:id="rId1"/>
  </sheets>
  <definedNames>
    <definedName name="Print_Titles" localSheetId="0">прил.!$5:$7</definedName>
    <definedName name="_xlnm.Print_Area" localSheetId="0">прил.!$A$1:$S$192</definedName>
  </definedNames>
  <calcPr calcId="162913" iterate="1"/>
</workbook>
</file>

<file path=xl/calcChain.xml><?xml version="1.0" encoding="utf-8"?>
<calcChain xmlns="http://schemas.openxmlformats.org/spreadsheetml/2006/main">
  <c r="Q84" i="1" l="1"/>
  <c r="Q128" i="1" l="1"/>
  <c r="Q127" i="1"/>
  <c r="Q133" i="1" l="1"/>
  <c r="Q139" i="1"/>
  <c r="P129" i="1" l="1"/>
  <c r="Q130" i="1"/>
  <c r="Q129" i="1" s="1"/>
  <c r="P130" i="1"/>
  <c r="Q135" i="1"/>
  <c r="R135" i="1"/>
  <c r="Q132" i="1"/>
  <c r="Q185" i="1" l="1"/>
  <c r="Q169" i="1" l="1"/>
  <c r="Q178" i="1" l="1"/>
  <c r="Q177" i="1"/>
  <c r="Q175" i="1"/>
  <c r="Q149" i="1" l="1"/>
  <c r="Q146" i="1"/>
  <c r="Q76" i="1" l="1"/>
  <c r="Q187" i="1"/>
  <c r="Q156" i="1"/>
  <c r="Q107" i="1"/>
  <c r="Q48" i="1" l="1"/>
  <c r="Q105" i="1" l="1"/>
  <c r="Q142" i="1" l="1"/>
  <c r="Q162" i="1" l="1"/>
  <c r="Q93" i="1" l="1"/>
  <c r="Q106" i="1"/>
  <c r="Q150" i="1" l="1"/>
  <c r="Q112" i="1"/>
  <c r="Q179" i="1" l="1"/>
  <c r="Q69" i="1"/>
  <c r="Q68" i="1"/>
  <c r="Q53" i="1"/>
  <c r="Q52" i="1"/>
  <c r="Q47" i="1"/>
  <c r="Q168" i="1" l="1"/>
  <c r="Q119" i="1"/>
  <c r="R72" i="1"/>
  <c r="Q174" i="1" l="1"/>
  <c r="Q160" i="1"/>
  <c r="Q70" i="1"/>
  <c r="Q89" i="1" l="1"/>
  <c r="Q60" i="1"/>
  <c r="Q148" i="1" l="1"/>
  <c r="Q77" i="1" l="1"/>
  <c r="Q85" i="1"/>
  <c r="Q80" i="1" l="1"/>
  <c r="Q35" i="1" l="1"/>
  <c r="Q12" i="1" l="1"/>
  <c r="R189" i="1" l="1"/>
  <c r="Q189" i="1"/>
  <c r="Q154" i="1" l="1"/>
  <c r="Q96" i="1"/>
  <c r="Q155" i="1"/>
  <c r="R155" i="1" s="1"/>
  <c r="Q143" i="1"/>
  <c r="Q97" i="1"/>
  <c r="Q102" i="1"/>
  <c r="Q99" i="1"/>
  <c r="Q180" i="1" l="1"/>
  <c r="Q45" i="1" l="1"/>
  <c r="R54" i="1"/>
  <c r="N54" i="1"/>
  <c r="O54" i="1" s="1"/>
  <c r="Q27" i="1" l="1"/>
  <c r="Q30" i="1" l="1"/>
  <c r="R187" i="1" l="1"/>
  <c r="O189" i="1"/>
  <c r="N189" i="1"/>
  <c r="R188" i="1"/>
  <c r="O188" i="1"/>
  <c r="N187" i="1"/>
  <c r="O187" i="1" s="1"/>
  <c r="R186" i="1"/>
  <c r="O186" i="1"/>
  <c r="R185" i="1"/>
  <c r="O185" i="1"/>
  <c r="Q184" i="1"/>
  <c r="Q183" i="1" s="1"/>
  <c r="N184" i="1"/>
  <c r="M184" i="1"/>
  <c r="M183" i="1" s="1"/>
  <c r="N183" i="1"/>
  <c r="Q182" i="1"/>
  <c r="R182" i="1" s="1"/>
  <c r="O182" i="1"/>
  <c r="N182" i="1"/>
  <c r="R181" i="1"/>
  <c r="O181" i="1"/>
  <c r="R180" i="1"/>
  <c r="O180" i="1"/>
  <c r="R179" i="1"/>
  <c r="O179" i="1"/>
  <c r="R178" i="1"/>
  <c r="N178" i="1"/>
  <c r="O178" i="1" s="1"/>
  <c r="R177" i="1"/>
  <c r="N177" i="1"/>
  <c r="O177" i="1" s="1"/>
  <c r="R176" i="1"/>
  <c r="O176" i="1"/>
  <c r="R175" i="1"/>
  <c r="O175" i="1"/>
  <c r="R174" i="1"/>
  <c r="O174" i="1"/>
  <c r="R173" i="1"/>
  <c r="O173" i="1"/>
  <c r="R172" i="1"/>
  <c r="O172" i="1"/>
  <c r="R171" i="1"/>
  <c r="O171" i="1"/>
  <c r="R169" i="1"/>
  <c r="N169" i="1"/>
  <c r="O169" i="1" s="1"/>
  <c r="R168" i="1"/>
  <c r="O168" i="1"/>
  <c r="N168" i="1"/>
  <c r="Q167" i="1"/>
  <c r="R167" i="1" s="1"/>
  <c r="M167" i="1"/>
  <c r="R166" i="1"/>
  <c r="O166" i="1"/>
  <c r="R165" i="1"/>
  <c r="O165" i="1"/>
  <c r="O164" i="1" s="1"/>
  <c r="R164" i="1"/>
  <c r="Q164" i="1"/>
  <c r="N164" i="1"/>
  <c r="M164" i="1"/>
  <c r="M163" i="1" s="1"/>
  <c r="R162" i="1"/>
  <c r="O162" i="1"/>
  <c r="R161" i="1"/>
  <c r="O161" i="1"/>
  <c r="R160" i="1"/>
  <c r="O160" i="1"/>
  <c r="O158" i="1" s="1"/>
  <c r="O157" i="1" s="1"/>
  <c r="R159" i="1"/>
  <c r="O159" i="1"/>
  <c r="Q158" i="1"/>
  <c r="Q157" i="1" s="1"/>
  <c r="N158" i="1"/>
  <c r="M158" i="1"/>
  <c r="N157" i="1"/>
  <c r="M157" i="1"/>
  <c r="R156" i="1"/>
  <c r="N156" i="1"/>
  <c r="O156" i="1" s="1"/>
  <c r="O154" i="1" s="1"/>
  <c r="O151" i="1" s="1"/>
  <c r="N154" i="1"/>
  <c r="M154" i="1"/>
  <c r="R153" i="1"/>
  <c r="O153" i="1"/>
  <c r="R152" i="1"/>
  <c r="Q152" i="1"/>
  <c r="O152" i="1"/>
  <c r="N152" i="1"/>
  <c r="M152" i="1"/>
  <c r="N151" i="1"/>
  <c r="M151" i="1"/>
  <c r="R150" i="1"/>
  <c r="N150" i="1"/>
  <c r="O150" i="1" s="1"/>
  <c r="R149" i="1"/>
  <c r="N149" i="1"/>
  <c r="O149" i="1" s="1"/>
  <c r="R148" i="1"/>
  <c r="O148" i="1"/>
  <c r="R147" i="1"/>
  <c r="O147" i="1"/>
  <c r="R146" i="1"/>
  <c r="O146" i="1"/>
  <c r="N146" i="1"/>
  <c r="Q145" i="1"/>
  <c r="Q144" i="1" s="1"/>
  <c r="N145" i="1"/>
  <c r="M145" i="1"/>
  <c r="N144" i="1"/>
  <c r="M144" i="1"/>
  <c r="R143" i="1"/>
  <c r="O143" i="1"/>
  <c r="R142" i="1"/>
  <c r="N142" i="1"/>
  <c r="N141" i="1" s="1"/>
  <c r="N140" i="1" s="1"/>
  <c r="Q141" i="1"/>
  <c r="Q140" i="1" s="1"/>
  <c r="M141" i="1"/>
  <c r="M140" i="1"/>
  <c r="R139" i="1"/>
  <c r="O139" i="1"/>
  <c r="N139" i="1"/>
  <c r="R138" i="1"/>
  <c r="O138" i="1"/>
  <c r="R137" i="1"/>
  <c r="O137" i="1"/>
  <c r="R136" i="1"/>
  <c r="O136" i="1"/>
  <c r="R134" i="1"/>
  <c r="O134" i="1"/>
  <c r="R133" i="1"/>
  <c r="O133" i="1"/>
  <c r="R132" i="1"/>
  <c r="O132" i="1"/>
  <c r="R131" i="1"/>
  <c r="O131" i="1"/>
  <c r="N130" i="1"/>
  <c r="M130" i="1"/>
  <c r="M129" i="1" s="1"/>
  <c r="N129" i="1"/>
  <c r="R128" i="1"/>
  <c r="O128" i="1"/>
  <c r="R127" i="1"/>
  <c r="O127" i="1"/>
  <c r="R126" i="1"/>
  <c r="O126" i="1"/>
  <c r="R125" i="1"/>
  <c r="O125" i="1"/>
  <c r="R124" i="1"/>
  <c r="O124" i="1"/>
  <c r="R123" i="1"/>
  <c r="O123" i="1"/>
  <c r="Q122" i="1"/>
  <c r="Q121" i="1" s="1"/>
  <c r="N122" i="1"/>
  <c r="M122" i="1"/>
  <c r="N121" i="1"/>
  <c r="M121" i="1"/>
  <c r="R120" i="1"/>
  <c r="O120" i="1"/>
  <c r="R119" i="1"/>
  <c r="N119" i="1"/>
  <c r="O119" i="1" s="1"/>
  <c r="Q118" i="1"/>
  <c r="Q117" i="1" s="1"/>
  <c r="N118" i="1"/>
  <c r="N117" i="1" s="1"/>
  <c r="M118" i="1"/>
  <c r="M117" i="1"/>
  <c r="R116" i="1"/>
  <c r="R114" i="1" s="1"/>
  <c r="R113" i="1" s="1"/>
  <c r="O116" i="1"/>
  <c r="R115" i="1"/>
  <c r="O115" i="1"/>
  <c r="Q114" i="1"/>
  <c r="Q113" i="1" s="1"/>
  <c r="N114" i="1"/>
  <c r="M114" i="1"/>
  <c r="N113" i="1"/>
  <c r="M113" i="1"/>
  <c r="R112" i="1"/>
  <c r="O112" i="1"/>
  <c r="R111" i="1"/>
  <c r="O111" i="1"/>
  <c r="R110" i="1"/>
  <c r="O110" i="1"/>
  <c r="R109" i="1"/>
  <c r="O109" i="1"/>
  <c r="Q108" i="1"/>
  <c r="R108" i="1" s="1"/>
  <c r="O108" i="1"/>
  <c r="R107" i="1"/>
  <c r="O107" i="1"/>
  <c r="R106" i="1"/>
  <c r="O106" i="1"/>
  <c r="R105" i="1"/>
  <c r="N105" i="1"/>
  <c r="O105" i="1" s="1"/>
  <c r="R104" i="1"/>
  <c r="O104" i="1"/>
  <c r="Q103" i="1"/>
  <c r="N103" i="1"/>
  <c r="M103" i="1"/>
  <c r="R102" i="1"/>
  <c r="R101" i="1" s="1"/>
  <c r="O102" i="1"/>
  <c r="O101" i="1" s="1"/>
  <c r="Q101" i="1"/>
  <c r="N101" i="1"/>
  <c r="N100" i="1" s="1"/>
  <c r="M101" i="1"/>
  <c r="M100" i="1"/>
  <c r="R99" i="1"/>
  <c r="R98" i="1" s="1"/>
  <c r="O99" i="1"/>
  <c r="O98" i="1"/>
  <c r="N98" i="1"/>
  <c r="M98" i="1"/>
  <c r="R97" i="1"/>
  <c r="N97" i="1"/>
  <c r="O97" i="1" s="1"/>
  <c r="R96" i="1"/>
  <c r="O96" i="1"/>
  <c r="N96" i="1"/>
  <c r="R95" i="1"/>
  <c r="O95" i="1"/>
  <c r="R94" i="1"/>
  <c r="O94" i="1"/>
  <c r="R93" i="1"/>
  <c r="O93" i="1"/>
  <c r="N93" i="1"/>
  <c r="N92" i="1"/>
  <c r="N91" i="1" s="1"/>
  <c r="M92" i="1"/>
  <c r="M91" i="1" s="1"/>
  <c r="R90" i="1"/>
  <c r="O90" i="1"/>
  <c r="R89" i="1"/>
  <c r="O89" i="1"/>
  <c r="R88" i="1"/>
  <c r="O88" i="1"/>
  <c r="O87" i="1" s="1"/>
  <c r="O86" i="1" s="1"/>
  <c r="Q87" i="1"/>
  <c r="Q86" i="1" s="1"/>
  <c r="N87" i="1"/>
  <c r="N86" i="1" s="1"/>
  <c r="M87" i="1"/>
  <c r="M86" i="1" s="1"/>
  <c r="R85" i="1"/>
  <c r="Q83" i="1"/>
  <c r="O85" i="1"/>
  <c r="R84" i="1"/>
  <c r="O84" i="1"/>
  <c r="N84" i="1"/>
  <c r="N83" i="1"/>
  <c r="M83" i="1"/>
  <c r="Q82" i="1"/>
  <c r="R82" i="1" s="1"/>
  <c r="R81" i="1" s="1"/>
  <c r="O82" i="1"/>
  <c r="O81" i="1"/>
  <c r="N81" i="1"/>
  <c r="M81" i="1"/>
  <c r="R80" i="1"/>
  <c r="R79" i="1" s="1"/>
  <c r="O80" i="1"/>
  <c r="O79" i="1"/>
  <c r="N79" i="1"/>
  <c r="N78" i="1" s="1"/>
  <c r="M79" i="1"/>
  <c r="M78" i="1" s="1"/>
  <c r="R77" i="1"/>
  <c r="O77" i="1"/>
  <c r="N77" i="1"/>
  <c r="R76" i="1"/>
  <c r="O76" i="1"/>
  <c r="O75" i="1" s="1"/>
  <c r="O74" i="1" s="1"/>
  <c r="N76" i="1"/>
  <c r="N75" i="1"/>
  <c r="N74" i="1" s="1"/>
  <c r="M75" i="1"/>
  <c r="M74" i="1"/>
  <c r="R73" i="1"/>
  <c r="O73" i="1"/>
  <c r="O72" i="1"/>
  <c r="R71" i="1"/>
  <c r="O71" i="1"/>
  <c r="Q65" i="1"/>
  <c r="Q61" i="1" s="1"/>
  <c r="O70" i="1"/>
  <c r="R69" i="1"/>
  <c r="O69" i="1"/>
  <c r="N69" i="1"/>
  <c r="N65" i="1" s="1"/>
  <c r="N61" i="1" s="1"/>
  <c r="R68" i="1"/>
  <c r="O68" i="1"/>
  <c r="R67" i="1"/>
  <c r="O67" i="1"/>
  <c r="R66" i="1"/>
  <c r="O66" i="1"/>
  <c r="M65" i="1"/>
  <c r="M61" i="1" s="1"/>
  <c r="R64" i="1"/>
  <c r="R63" i="1" s="1"/>
  <c r="R62" i="1" s="1"/>
  <c r="O64" i="1"/>
  <c r="Q63" i="1"/>
  <c r="Q62" i="1" s="1"/>
  <c r="O63" i="1"/>
  <c r="N63" i="1"/>
  <c r="N62" i="1" s="1"/>
  <c r="O62" i="1"/>
  <c r="R60" i="1"/>
  <c r="R59" i="1" s="1"/>
  <c r="R58" i="1" s="1"/>
  <c r="O60" i="1"/>
  <c r="Q59" i="1"/>
  <c r="Q58" i="1" s="1"/>
  <c r="O59" i="1"/>
  <c r="O58" i="1" s="1"/>
  <c r="N59" i="1"/>
  <c r="N58" i="1" s="1"/>
  <c r="M59" i="1"/>
  <c r="M58" i="1" s="1"/>
  <c r="R57" i="1"/>
  <c r="R56" i="1" s="1"/>
  <c r="R55" i="1" s="1"/>
  <c r="O57" i="1"/>
  <c r="Q56" i="1"/>
  <c r="O56" i="1"/>
  <c r="O55" i="1" s="1"/>
  <c r="N56" i="1"/>
  <c r="N55" i="1" s="1"/>
  <c r="M56" i="1"/>
  <c r="M55" i="1" s="1"/>
  <c r="Q55" i="1"/>
  <c r="R53" i="1"/>
  <c r="O53" i="1"/>
  <c r="N53" i="1"/>
  <c r="R52" i="1"/>
  <c r="O52" i="1"/>
  <c r="R51" i="1"/>
  <c r="O51" i="1"/>
  <c r="R50" i="1"/>
  <c r="O50" i="1"/>
  <c r="R49" i="1"/>
  <c r="O49" i="1"/>
  <c r="R48" i="1"/>
  <c r="O48" i="1"/>
  <c r="N48" i="1"/>
  <c r="R47" i="1"/>
  <c r="O47" i="1"/>
  <c r="R46" i="1"/>
  <c r="O46" i="1"/>
  <c r="N45" i="1"/>
  <c r="M45" i="1"/>
  <c r="R44" i="1"/>
  <c r="O44" i="1"/>
  <c r="R43" i="1"/>
  <c r="O43" i="1"/>
  <c r="Q42" i="1"/>
  <c r="N42" i="1"/>
  <c r="M42" i="1"/>
  <c r="R41" i="1"/>
  <c r="O41" i="1"/>
  <c r="R40" i="1"/>
  <c r="O40" i="1"/>
  <c r="R39" i="1"/>
  <c r="R38" i="1" s="1"/>
  <c r="O39" i="1"/>
  <c r="O38" i="1" s="1"/>
  <c r="Q38" i="1"/>
  <c r="N38" i="1"/>
  <c r="N37" i="1" s="1"/>
  <c r="M38" i="1"/>
  <c r="M37" i="1"/>
  <c r="R36" i="1"/>
  <c r="O36" i="1"/>
  <c r="R35" i="1"/>
  <c r="O35" i="1"/>
  <c r="Q34" i="1"/>
  <c r="Q33" i="1" s="1"/>
  <c r="N34" i="1"/>
  <c r="N33" i="1" s="1"/>
  <c r="M34" i="1"/>
  <c r="M33" i="1" s="1"/>
  <c r="R32" i="1"/>
  <c r="O32" i="1"/>
  <c r="R31" i="1"/>
  <c r="O31" i="1"/>
  <c r="R30" i="1"/>
  <c r="O30" i="1"/>
  <c r="R29" i="1"/>
  <c r="O29" i="1"/>
  <c r="R28" i="1"/>
  <c r="O28" i="1"/>
  <c r="R27" i="1"/>
  <c r="O27" i="1"/>
  <c r="Q26" i="1"/>
  <c r="Q25" i="1" s="1"/>
  <c r="N26" i="1"/>
  <c r="N25" i="1" s="1"/>
  <c r="M26" i="1"/>
  <c r="M25" i="1"/>
  <c r="R24" i="1"/>
  <c r="R23" i="1" s="1"/>
  <c r="O24" i="1"/>
  <c r="Q23" i="1"/>
  <c r="O23" i="1"/>
  <c r="N23" i="1"/>
  <c r="M23" i="1"/>
  <c r="R22" i="1"/>
  <c r="R21" i="1" s="1"/>
  <c r="O22" i="1"/>
  <c r="Q21" i="1"/>
  <c r="O21" i="1"/>
  <c r="O20" i="1" s="1"/>
  <c r="N21" i="1"/>
  <c r="N20" i="1" s="1"/>
  <c r="M21" i="1"/>
  <c r="M20" i="1" s="1"/>
  <c r="Q20" i="1"/>
  <c r="R19" i="1"/>
  <c r="O19" i="1"/>
  <c r="R18" i="1"/>
  <c r="O18" i="1"/>
  <c r="R17" i="1"/>
  <c r="O17" i="1"/>
  <c r="R16" i="1"/>
  <c r="O16" i="1"/>
  <c r="Q15" i="1"/>
  <c r="Q14" i="1" s="1"/>
  <c r="N15" i="1"/>
  <c r="M15" i="1"/>
  <c r="M14" i="1" s="1"/>
  <c r="N14" i="1"/>
  <c r="R13" i="1"/>
  <c r="O13" i="1"/>
  <c r="R12" i="1"/>
  <c r="O12" i="1"/>
  <c r="R11" i="1"/>
  <c r="O11" i="1"/>
  <c r="R10" i="1"/>
  <c r="O10" i="1"/>
  <c r="Q9" i="1"/>
  <c r="Q8" i="1" s="1"/>
  <c r="N9" i="1"/>
  <c r="N8" i="1" s="1"/>
  <c r="M9" i="1"/>
  <c r="M8" i="1" s="1"/>
  <c r="R130" i="1" l="1"/>
  <c r="R129" i="1" s="1"/>
  <c r="O9" i="1"/>
  <c r="O8" i="1" s="1"/>
  <c r="O83" i="1"/>
  <c r="O122" i="1"/>
  <c r="O121" i="1" s="1"/>
  <c r="R87" i="1"/>
  <c r="R86" i="1" s="1"/>
  <c r="R75" i="1"/>
  <c r="R74" i="1" s="1"/>
  <c r="R83" i="1"/>
  <c r="R78" i="1" s="1"/>
  <c r="R34" i="1"/>
  <c r="R33" i="1" s="1"/>
  <c r="R145" i="1"/>
  <c r="R144" i="1" s="1"/>
  <c r="R154" i="1"/>
  <c r="R151" i="1" s="1"/>
  <c r="R45" i="1"/>
  <c r="O130" i="1"/>
  <c r="O129" i="1" s="1"/>
  <c r="O15" i="1"/>
  <c r="O14" i="1" s="1"/>
  <c r="O65" i="1"/>
  <c r="O61" i="1" s="1"/>
  <c r="O114" i="1"/>
  <c r="O113" i="1" s="1"/>
  <c r="O118" i="1"/>
  <c r="O117" i="1" s="1"/>
  <c r="R122" i="1"/>
  <c r="R121" i="1" s="1"/>
  <c r="R15" i="1"/>
  <c r="R14" i="1" s="1"/>
  <c r="R118" i="1"/>
  <c r="R117" i="1" s="1"/>
  <c r="R141" i="1"/>
  <c r="R140" i="1" s="1"/>
  <c r="R158" i="1"/>
  <c r="R157" i="1" s="1"/>
  <c r="Q151" i="1"/>
  <c r="Q100" i="1"/>
  <c r="R103" i="1"/>
  <c r="R100" i="1" s="1"/>
  <c r="R92" i="1"/>
  <c r="R91" i="1" s="1"/>
  <c r="O45" i="1"/>
  <c r="R9" i="1"/>
  <c r="R8" i="1" s="1"/>
  <c r="O34" i="1"/>
  <c r="O33" i="1" s="1"/>
  <c r="O42" i="1"/>
  <c r="O37" i="1" s="1"/>
  <c r="O26" i="1"/>
  <c r="O25" i="1" s="1"/>
  <c r="R26" i="1"/>
  <c r="R25" i="1" s="1"/>
  <c r="R42" i="1"/>
  <c r="Q37" i="1"/>
  <c r="Q163" i="1"/>
  <c r="R163" i="1"/>
  <c r="M190" i="1"/>
  <c r="O78" i="1"/>
  <c r="O103" i="1"/>
  <c r="O100" i="1" s="1"/>
  <c r="R184" i="1"/>
  <c r="R183" i="1" s="1"/>
  <c r="O184" i="1"/>
  <c r="O183" i="1" s="1"/>
  <c r="R20" i="1"/>
  <c r="O92" i="1"/>
  <c r="O91" i="1" s="1"/>
  <c r="O145" i="1"/>
  <c r="O144" i="1" s="1"/>
  <c r="Q75" i="1"/>
  <c r="Q74" i="1" s="1"/>
  <c r="R70" i="1"/>
  <c r="R65" i="1" s="1"/>
  <c r="R61" i="1" s="1"/>
  <c r="Q79" i="1"/>
  <c r="Q81" i="1"/>
  <c r="Q92" i="1"/>
  <c r="Q98" i="1"/>
  <c r="O142" i="1"/>
  <c r="O141" i="1" s="1"/>
  <c r="O140" i="1" s="1"/>
  <c r="N167" i="1"/>
  <c r="N163" i="1" s="1"/>
  <c r="N190" i="1" s="1"/>
  <c r="Q91" i="1" l="1"/>
  <c r="R37" i="1"/>
  <c r="R190" i="1" s="1"/>
  <c r="O167" i="1"/>
  <c r="O163" i="1" s="1"/>
  <c r="O190" i="1" s="1"/>
  <c r="Q78" i="1"/>
  <c r="Q190" i="1" s="1"/>
</calcChain>
</file>

<file path=xl/sharedStrings.xml><?xml version="1.0" encoding="utf-8"?>
<sst xmlns="http://schemas.openxmlformats.org/spreadsheetml/2006/main" count="1155" uniqueCount="425">
  <si>
    <t xml:space="preserve">  Информация об изменении показателей объема бюджетных ассигнований на реализацию муниципальных программ и непрограммных направлений деятельности </t>
  </si>
  <si>
    <t xml:space="preserve">    К Ц С Р </t>
  </si>
  <si>
    <t xml:space="preserve">    К В Р </t>
  </si>
  <si>
    <t>Наименование муниципальной программы города Мегиона</t>
  </si>
  <si>
    <t>КЦСР</t>
  </si>
  <si>
    <t xml:space="preserve">КЦСР </t>
  </si>
  <si>
    <t>Решение Думы города Мегиона от 09.12.2024 №427 (утвержденный  бюджет)                                                 (тыс. рублей)</t>
  </si>
  <si>
    <t>Изменения сводной бюджетной росписи (+;-)                                                                   (тыс. рублей)</t>
  </si>
  <si>
    <t xml:space="preserve">Проект с учетом внесенных изменений                   (тыс. рублей)                                                    </t>
  </si>
  <si>
    <t>Решение Думы города Мегиона от 25.04.2025 №451 (уточненный  бюджет)                                                 (тыс. рублей)</t>
  </si>
  <si>
    <t>Примечание</t>
  </si>
  <si>
    <t>Муниципальная программа "Развитие систем гражданской защиты населения города Мегиона"</t>
  </si>
  <si>
    <t>0140000000</t>
  </si>
  <si>
    <t>01</t>
  </si>
  <si>
    <t/>
  </si>
  <si>
    <t>Комплексы процессных мероприятий</t>
  </si>
  <si>
    <t>4</t>
  </si>
  <si>
    <t>Комплекс процессных мероприятий "Содержание каналов связи, обеспечение информационной безопасности"</t>
  </si>
  <si>
    <t>0141199990</t>
  </si>
  <si>
    <t>11</t>
  </si>
  <si>
    <t>Комплекс процессных мероприятий "Совершенствование системы оповещения населения города"</t>
  </si>
  <si>
    <t>0141299990</t>
  </si>
  <si>
    <t>12</t>
  </si>
  <si>
    <t>Комплекс процессных мероприятий "Обеспечение деятельности МКУ "УГЗН"</t>
  </si>
  <si>
    <t>0141300590</t>
  </si>
  <si>
    <t>13</t>
  </si>
  <si>
    <t>Комплекс процессных мероприятий "Обеспечение выполнения полномочий и функций МКУ "УГЗН" в установленных сферах деятельности"</t>
  </si>
  <si>
    <t>0141499990</t>
  </si>
  <si>
    <t>14</t>
  </si>
  <si>
    <t>Муниципальная программа  "Улучшение условий и охраны труда в  городе Мегионе"</t>
  </si>
  <si>
    <t>0240000000</t>
  </si>
  <si>
    <t>02</t>
  </si>
  <si>
    <t>Комплекс процессных мероприятий "Совершенствование государственного управления охраной труда в городе Мегионе"</t>
  </si>
  <si>
    <t>0241184120</t>
  </si>
  <si>
    <t>Комплекс процессных мероприятий "Развитие социального партнерства между органами исполнительной власти, органами местного самоуправления, работодателями и общественными организациями для реализации государственной политики в области охраны труда"</t>
  </si>
  <si>
    <t>0241299990</t>
  </si>
  <si>
    <t>Комплекс процессных мероприятий "Снижение производственного травматизма"</t>
  </si>
  <si>
    <t>0241399990</t>
  </si>
  <si>
    <t>Комплекс процессных мероприятий " Улучшение условий труда в городе Мегионе"</t>
  </si>
  <si>
    <t>0241499990</t>
  </si>
  <si>
    <t>Муниципальная программа "Поддержка и развитие малого и среднего предпринимательства  на территории города Мегиона"</t>
  </si>
  <si>
    <t>0300000000</t>
  </si>
  <si>
    <t>03</t>
  </si>
  <si>
    <t>Региональные проекты, направленные на достижение целей, показателей в решении задач национального проекта</t>
  </si>
  <si>
    <t>031Э100000</t>
  </si>
  <si>
    <t>1</t>
  </si>
  <si>
    <t>Региональный проект "Малое и среднее предпринимательство и поддержка индивидуальной предпринимательской инициативы"</t>
  </si>
  <si>
    <t>Э1</t>
  </si>
  <si>
    <t>0341184382</t>
  </si>
  <si>
    <t>Комплекс процессных мероприятий "Поддержка отрасли животноводства"</t>
  </si>
  <si>
    <t>Муниципальная программа "Развитие гражданского общества на территории города Мегиона"</t>
  </si>
  <si>
    <t>0440000000</t>
  </si>
  <si>
    <t>04</t>
  </si>
  <si>
    <t>Комплекс процессных мероприятий "Формирование открытой и конкурентной системы поддержки социально ориентированных некоммерческих организаций"</t>
  </si>
  <si>
    <t>0441100000</t>
  </si>
  <si>
    <t>Комплекс процессных мероприятий "Обеспечение функционирования системы популяризации деятельности социально ориентированных некоммерческих организаций города Мегиона"</t>
  </si>
  <si>
    <t>0441261600</t>
  </si>
  <si>
    <t>Комплекс процессных мероприятий "Содействие развитию социальной рекламы деятельности СОНКО в средствах массовой информации, а также размещению наружной социальной рекламы"</t>
  </si>
  <si>
    <t>0441399990</t>
  </si>
  <si>
    <t>Комплекс процессных мероприятий "Обеспечение взаимодействия с политическими партиями, избирательными комиссиями, законодательными (представительным) органами государственной власти и местного самоуправления в сфере регионального развития и содействия развитию местного самоуправления в городе Мегионе, прогноза общественно-политической ситуации"</t>
  </si>
  <si>
    <t>0441461600</t>
  </si>
  <si>
    <t>Комплекс процессных мероприятий "Оказание поддержки гражданам, награжденным знаком отличия "Доброволец Мегиона"</t>
  </si>
  <si>
    <t>0441599990</t>
  </si>
  <si>
    <t>15</t>
  </si>
  <si>
    <t>Комплекс процессных мероприятий "Поддержка деятельности социально ориентированных некоммерческих организаций в сфере развития благотворительности и добровольчества"</t>
  </si>
  <si>
    <t>0441661600</t>
  </si>
  <si>
    <t>16</t>
  </si>
  <si>
    <t>Муниципальная программа "Управление муниципальными финансами в городе Мегионе"</t>
  </si>
  <si>
    <t>0540000000</t>
  </si>
  <si>
    <t>05</t>
  </si>
  <si>
    <t>Комплекс процессных мероприятий  "Обеспечение деятельности органов местного самоуправления"</t>
  </si>
  <si>
    <t>0540100000</t>
  </si>
  <si>
    <t>Комплекс процессных мероприятий "Управление муниципальным долгом"</t>
  </si>
  <si>
    <t>0541199990</t>
  </si>
  <si>
    <t>Муниципальная программа  "Культурное пространство в городе Мегионе"</t>
  </si>
  <si>
    <t>0600000000</t>
  </si>
  <si>
    <t>06</t>
  </si>
  <si>
    <t>Региональные проекты, направленные на достижение целей, показателей и решение задач национального проекта</t>
  </si>
  <si>
    <t>061Я500000</t>
  </si>
  <si>
    <t>Региональный проект "Семейные ценности и инфраструктура культуры"</t>
  </si>
  <si>
    <t>Я5</t>
  </si>
  <si>
    <t>06.1.Я5.55970;Модернизация региональных и муниципальных музеев</t>
  </si>
  <si>
    <t>061Я555970</t>
  </si>
  <si>
    <t>55970</t>
  </si>
  <si>
    <t>Вид расхода:2.4.3;Закупка товаров, работ и услуг в целях капитального ремонта государственного (муниципального) имущества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</si>
  <si>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</si>
  <si>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0620000000</t>
  </si>
  <si>
    <t>2</t>
  </si>
  <si>
    <t>06.2.01.00000;Региональный проект "Сохранение культурного и исторического наследия"</t>
  </si>
  <si>
    <t>0620100000</t>
  </si>
  <si>
    <t>Региональный проект "Развитие искусства и творчества"</t>
  </si>
  <si>
    <t>06202L4660</t>
  </si>
  <si>
    <t>0640000000</t>
  </si>
  <si>
    <t>Комплекс процессных мероприятий "Развитие библиотечного дела"</t>
  </si>
  <si>
    <t>0641199990</t>
  </si>
  <si>
    <t>Комплекс процессных мероприятий "Развитие музейного дела"</t>
  </si>
  <si>
    <t>0641299990</t>
  </si>
  <si>
    <t>Комплекс процессных мероприятий "Укрепление материально-технической базы учреждений культуры"</t>
  </si>
  <si>
    <t>0641399990</t>
  </si>
  <si>
    <t>Комплекс процессных мероприятий  "Обеспечение комплексной безопасности учреждений культуры и дополнительного образования в сфере культуры"</t>
  </si>
  <si>
    <t>0641499990</t>
  </si>
  <si>
    <t>Комплекс процессных мероприятий "Поддержка одаренных детей и молодежи, развитие художественного образования"</t>
  </si>
  <si>
    <t>0641599990</t>
  </si>
  <si>
    <t>Комплекс процессных мероприятий "Развитие профессионального искусства"</t>
  </si>
  <si>
    <t>0641699990</t>
  </si>
  <si>
    <t>Комплекс процессных мероприятий "Стимулирование культурного разнообразия в городском округе"</t>
  </si>
  <si>
    <t>0641799990</t>
  </si>
  <si>
    <t>17</t>
  </si>
  <si>
    <t>Комплекс процессных мероприятий "Реализация единой государственной политики в сфере культуры"</t>
  </si>
  <si>
    <t>0641800590</t>
  </si>
  <si>
    <t>18</t>
  </si>
  <si>
    <t>Муниципальная программа "Развитие муниципальной службы в городе Мегионе"</t>
  </si>
  <si>
    <t>0741199990</t>
  </si>
  <si>
    <t>07</t>
  </si>
  <si>
    <t>Комплекс процессных мероприятий "Повышение  уровня профессиональной компетенции муниципальных служащих"</t>
  </si>
  <si>
    <t>Муниципальная программа "Информационное обеспечение деятельности органов местного самоуправления города Мегиона"</t>
  </si>
  <si>
    <t>0841100000</t>
  </si>
  <si>
    <t>08</t>
  </si>
  <si>
    <t>Комплекс процессных мероприятий "Обеспечение производства и распространение информации о деятельности органов местного самоуправления, иной социально значимой информации на территории  города Мегиона"</t>
  </si>
  <si>
    <t>Муниципальная программа "Развитие физической культуры и спорта, укрепление общественного здоровья в городе Мегионе"</t>
  </si>
  <si>
    <t>0900000000</t>
  </si>
  <si>
    <t>09</t>
  </si>
  <si>
    <t>09.2.00.00000;Региональные проекты, направленные на достижение показателей федеральных проектов, не входящих в состав национальных проектов</t>
  </si>
  <si>
    <t>0928DL7530</t>
  </si>
  <si>
    <t>09.2.8D.00000;Региональный проект "Бизнес - спринт (Я выбираю спорт)"</t>
  </si>
  <si>
    <t>8D</t>
  </si>
  <si>
    <t>09.2.8D.L7530;Реализация мероприятий по закупке и монтажу оборудования для создания "умных" спортивных площадок</t>
  </si>
  <si>
    <t>L7530</t>
  </si>
  <si>
    <t>0940000000</t>
  </si>
  <si>
    <t>Комплекс процессных мероприятий  "Реализация Всероссийского физкультурно-спортивного комплекса "Готов к труду и обороне" (ГТО)</t>
  </si>
  <si>
    <t>0941199990</t>
  </si>
  <si>
    <t>Комплекс процессных мероприятий "Проведение муниципальных Спартакиад, физкультурно-массовых мероприятий, спортивных мероприятий, первенств и чемпионатов по видам спорта"</t>
  </si>
  <si>
    <t>0941299990</t>
  </si>
  <si>
    <t>Комплекс процессных мероприятий "Мероприятия по обеспечению комплексной безопасности и комфортных условий в муниципальных спортивных учреждениях.Ремонтные работы спортивных объектов и сооружений"</t>
  </si>
  <si>
    <t>0941399990</t>
  </si>
  <si>
    <t>Комплекс процессных мероприятий "Создание условий для удовлетворения потребности населения города в оказании услуг в сфере физической культуры и спорта"</t>
  </si>
  <si>
    <t>0941400590</t>
  </si>
  <si>
    <t>Комплекс процессных мероприятий "Финансовое обеспечение затрат, связанных с оказанием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Мегиона"</t>
  </si>
  <si>
    <t>0941561600</t>
  </si>
  <si>
    <t>Комплекс процессных мероприятий  "Обеспечение участия сборных команд по видам спорта в межмуниципальных, региональных, всеросcийских соревнованиях, подготовка и обеспечение спортивного резерва, участие в тренировочных мероприятиях.Проведение соревнований по видам спорта"</t>
  </si>
  <si>
    <t>0941600000</t>
  </si>
  <si>
    <t>Комплекс процессных мероприятий  "Реализация мероприятий по приобретению спортивного оборудования и инвентаря"</t>
  </si>
  <si>
    <t>0941800000</t>
  </si>
  <si>
    <t>Комплекс процессных мероприятий  "Развитие сети спортивных объектов шаговой доступности"</t>
  </si>
  <si>
    <t>0942000000</t>
  </si>
  <si>
    <t>20</t>
  </si>
  <si>
    <t>Муниципальная программа "Управление муниципальным имуществом города Мегиона"</t>
  </si>
  <si>
    <t>1040000000</t>
  </si>
  <si>
    <t>10</t>
  </si>
  <si>
    <t>Комплекс процессных мероприятий "Обеспечение выполнения полномочий и функций администрации города в сферах управления муниципальным имуществом и землепользования"</t>
  </si>
  <si>
    <t>1041199990</t>
  </si>
  <si>
    <t>Комплекс процессных мероприятий  "Капитальный ремонт, реконструкция и ремонт муниципального имущества"</t>
  </si>
  <si>
    <t>1041299990</t>
  </si>
  <si>
    <t>Муниципальная программа "Развитие жилищной сферы на территории города Мегиона"</t>
  </si>
  <si>
    <t>1100000000</t>
  </si>
  <si>
    <t>111И200000</t>
  </si>
  <si>
    <t>Региональный проект "Жилье"</t>
  </si>
  <si>
    <t>И2</t>
  </si>
  <si>
    <t>11201L4970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</si>
  <si>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</si>
  <si>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(+) 728,3 тыс. рублей – увеличен объем бюджетных ассигнований на реализацию мероприятий по обеспечению жильем молодых семей (средства бюджета автономного округа - 651,0 тыс. рублей, средства федерального бюджета - 40,9 тыс. рублей, средства местного бюджета - 36,4 тыс. рублей)</t>
  </si>
  <si>
    <t>1140000000</t>
  </si>
  <si>
    <t>Комплекс процессных мероприятий "Приобретение жилья, изъятие земельного участка, в целях реализации полномочий в области жилищных отношений, установленных законодательством Российской Федерации"</t>
  </si>
  <si>
    <t>1141100000</t>
  </si>
  <si>
    <t>Комплекс процессных мероприятий "Улучшение жилищных условий отдельных категорий граждан"</t>
  </si>
  <si>
    <t>1141200000</t>
  </si>
  <si>
    <t>Муниципальная программа "Развитие информационного общества на территории города Мегиона"</t>
  </si>
  <si>
    <t>1240000000</t>
  </si>
  <si>
    <t>Комплекс процессных мероприятий "Обеспечение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сетей"</t>
  </si>
  <si>
    <t>1241199990</t>
  </si>
  <si>
    <t>Комплекс процессных мероприятий "Обеспечение деятельности муниципальных  учреждений"</t>
  </si>
  <si>
    <t>1241200590</t>
  </si>
  <si>
    <t>Комплекс процессных мероприятий "Защита информации органов местного самоуправления  города Мегиона"</t>
  </si>
  <si>
    <t>1241399990</t>
  </si>
  <si>
    <t>Муниципальная программа "Развитие транспортной системы города Мегиона"</t>
  </si>
  <si>
    <t>1300000000</t>
  </si>
  <si>
    <t>1340000000</t>
  </si>
  <si>
    <t>Комплексы процессных мероприятий "Строительство (реконструкция), капитальный ремонт и ремонт автомобильных дорог общего пользования, искусственных сооружений, а также внутриквартальных проездов"</t>
  </si>
  <si>
    <t>1341100000</t>
  </si>
  <si>
    <t>Комплексы процессных мероприятий "Обеспечение доступности и повышение качества транспортных услуг автомобильным транспортом"</t>
  </si>
  <si>
    <t>1341299990</t>
  </si>
  <si>
    <t>Комплексы процессных мероприятий "Субсидии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обратно"</t>
  </si>
  <si>
    <t>1341361703</t>
  </si>
  <si>
    <t>Комплексы процессных мероприятий " Обеспечение функционирования сети автомобильных дорог общего пользования города Мегиона"</t>
  </si>
  <si>
    <t>1341499990</t>
  </si>
  <si>
    <t>Комплексы процессных мероприятий "Совершенствование условий движения и организации  дорожного движения на улично-дорожной сети города Мегиона"</t>
  </si>
  <si>
    <t>1341500000</t>
  </si>
  <si>
    <t>Региональный проект, направленный на достижение целей социально-экономического развития Ханты-Мансийского автономного округа - Югры</t>
  </si>
  <si>
    <t>1350200000</t>
  </si>
  <si>
    <t>5</t>
  </si>
  <si>
    <t>Региональный проект "Строительство (реконструкция) автомобильных дорог общего пользования местного значения"</t>
  </si>
  <si>
    <t>Муниципальная программа "Развитие жилищно-коммунального комплекса и повышение энергетической эффективности в городе Мегионе"</t>
  </si>
  <si>
    <t>1400000000</t>
  </si>
  <si>
    <t>141И300000</t>
  </si>
  <si>
    <t>Региональный проект "Модернизация коммунальной инфраструктуры"</t>
  </si>
  <si>
    <t>И3</t>
  </si>
  <si>
    <t>1440000000</t>
  </si>
  <si>
    <t>Комплекс процессных мероприятий "Обеспечение стабильной благополучной эпизоотической обстановки в городе Мегионе и защита населения от болезней, общих для человека и животных"</t>
  </si>
  <si>
    <t>1441100000</t>
  </si>
  <si>
    <t>Комплекс процессных мероприятий "Обеспечение единого порядка содержания объектов внешнего благоустройства"</t>
  </si>
  <si>
    <t>1441299990</t>
  </si>
  <si>
    <t>Комплекс процессных мероприятий "Строительство кладбища"</t>
  </si>
  <si>
    <t>1441340705</t>
  </si>
  <si>
    <t>Комплекс процессных мероприятий " Реконструкция, расширение, модернизация, строительство и капитальный ремонт объектов коммунального комплекса"</t>
  </si>
  <si>
    <t>1441400000</t>
  </si>
  <si>
    <t>Комплекс процессных мероприятий "Возмещение недополученных доходов организациям, осуществляющим реализацию населению сжиженного газа и возмещение расходов организации за доставку населению сжиженного газа для бытовых нужд"</t>
  </si>
  <si>
    <t>1441584340</t>
  </si>
  <si>
    <t>(-) 301,8 тыс. рублей – уменьшен объем бюджетных ассигнований на возмещение недополученных доходов организациям, осуществляющим реализацию населению сжиженного газа по социальноориентированным розничным ценам (в том числе администрирование) (средства бюджета автономного округа)</t>
  </si>
  <si>
    <t>Комплекс процессных мероприятий "Предоставление субсидии из бюджета города Мегиона на финансовое 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оказывающих коммунальные услуги населению города Мегиона, связанных с погашением задолженности за потребленные топливно-энергетические ресурсы"</t>
  </si>
  <si>
    <t>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 и нормативам расхода тепловой энергии, используемой на подогрев холодной воды, для предоставления коммунальной услуги по горячему водоснабжению"</t>
  </si>
  <si>
    <t>1441700000</t>
  </si>
  <si>
    <t>Комплекс процессных мероприятий "Энергосбережение в бюджетной сфере"</t>
  </si>
  <si>
    <t>1441820020</t>
  </si>
  <si>
    <t>Комплекс процессных мероприятий "Капитальный ремонт, реконструкция и ремонт  муниципального жилого фонда"</t>
  </si>
  <si>
    <t>1441999990</t>
  </si>
  <si>
    <t>19</t>
  </si>
  <si>
    <t>Муниципальная программа "Мероприятия в области градостроительной деятельности города Мегиона"</t>
  </si>
  <si>
    <t>1540000000</t>
  </si>
  <si>
    <t>Комплекс процессных мероприятий "Совершенствование системы управления градостроительным развитием территории"</t>
  </si>
  <si>
    <t>1541100000</t>
  </si>
  <si>
    <t>Комплекс процессных мероприятий "Мероприятия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строительства"</t>
  </si>
  <si>
    <t>1541300000</t>
  </si>
  <si>
    <t>Муниципальная программа "Формирование доступной среды для инвалидов и других маломобильных групп населения на территории города Мегиона"</t>
  </si>
  <si>
    <t>1640000000</t>
  </si>
  <si>
    <t>Комплекс процессных мероприятий</t>
  </si>
  <si>
    <t>Комплекс процессных мероприятий "Повышение условий доступности приоритетных объектов, находящихся в муниципальной собственности, в приоритетных сферах жизнедеятельности для инвалидов и других маломобильных групп населения"</t>
  </si>
  <si>
    <t>1641199990</t>
  </si>
  <si>
    <t>Комплекс процессных мероприятий "Формирование доступности жилых помещений и общего имущества в многоквартирном доме, в котором расположены жилые помещения для инвалидов и других маломобильных групп населения"</t>
  </si>
  <si>
    <t>1641200000</t>
  </si>
  <si>
    <t>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</si>
  <si>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>1740000000</t>
  </si>
  <si>
    <t>Комплекс процессных мероприятий "Обеспечение общественного порядка, в том числе с участием граждан"</t>
  </si>
  <si>
    <t>1741100000</t>
  </si>
  <si>
    <t>Комплекс процессных мероприятий "Мероприятия, направленные на профилактику правонарушений, в том числе профилактику правонарушений среди несовершеннолетних"</t>
  </si>
  <si>
    <t>1741220050</t>
  </si>
  <si>
    <t>Комплекс процессных мероприятий "Реализация профилактической антинаркотической направленности"</t>
  </si>
  <si>
    <t>1741320040</t>
  </si>
  <si>
    <t>Комплекс процессных мероприятий "Проведение информационной антинаркотической политики, просветительских мероприятий"</t>
  </si>
  <si>
    <t>1741420040</t>
  </si>
  <si>
    <t>Комплекс процессных мероприятий "Поддержка социально ориентированных некоммерческих организаций, осуществляющих свою деятельность в сфере профилактики наркомании"</t>
  </si>
  <si>
    <t>1741520040</t>
  </si>
  <si>
    <t>Комплекс процессных мероприятий "Правовое просвещение и информирование в сфере защиты прав потребителей"</t>
  </si>
  <si>
    <t>1741699990</t>
  </si>
  <si>
    <t>Муниципальная программа "Укрепление межнационального и межконфессионального согласия, профилактика экстремизма и терроризма в городе Мегионе"</t>
  </si>
  <si>
    <t>1840000000</t>
  </si>
  <si>
    <t>Комплекс процессных мероприятий "Содействие этнокультурному развитию народов, формированию общероссийского гражданского самосознания, патриотизма и солидарности"</t>
  </si>
  <si>
    <t>1841100000</t>
  </si>
  <si>
    <t>Комплекс процессных мероприятий "Содействие развитию общественных инициатив, направленных на гармонизацию межэтнических отношений, укрепление позитивного этнического самосознания и обеспечение потребностей граждан, связанных с их этнической  принадлежностью"</t>
  </si>
  <si>
    <t>1841200000</t>
  </si>
  <si>
    <t>Комплекс процессных мероприятий "Социальная и культурная адаптация иностранных граждан (мигрантов)"</t>
  </si>
  <si>
    <t>1841499990</t>
  </si>
  <si>
    <t>Комплекс процессных мероприятий " Реализация комплексной информационной кампании, направленной на укрепление общегражданской идентичности и межнационального ( межэтнического), межконфессионального и межкультурного взаимодействия"</t>
  </si>
  <si>
    <t>1841599990</t>
  </si>
  <si>
    <t>Комплекс процессных мероприятий "Профилактика экстремизма, минимизация условий для проявлений экстремизма на территории города Мегиона"</t>
  </si>
  <si>
    <t>1841799990</t>
  </si>
  <si>
    <t>Комплекс процессных мероприятий  "Профилактика экстремизма в молодежной среде"</t>
  </si>
  <si>
    <t>1841899990</t>
  </si>
  <si>
    <t>Комплекс процессных мероприятий  " Мероприятия по информационному противодействию идеологии терроризма"</t>
  </si>
  <si>
    <t>1841999990</t>
  </si>
  <si>
    <t>Комплекс процессных мероприятий " Обеспечение выполнения требований антитеррористической защищенности объектов массового пребывания людей"</t>
  </si>
  <si>
    <t>1842099990</t>
  </si>
  <si>
    <t>21.0.00.00000;Муниципальная программа "Развитие экологической безопасности на территории города Мегиона"</t>
  </si>
  <si>
    <t>2140000000</t>
  </si>
  <si>
    <t>21</t>
  </si>
  <si>
    <t>Комплекс процессных мероприятий  "Снижение и ликвидация вредного воздействия отходов производства и потребления на окружающую среду  и здоровье населения"</t>
  </si>
  <si>
    <t>2141100000</t>
  </si>
  <si>
    <t>Комплекс процессных мероприятий "Обеспечение мер противопожарной безопасности в городских лесах"</t>
  </si>
  <si>
    <t>2141299990</t>
  </si>
  <si>
    <t>Муниципальная программа "Развитие муниципального управления "</t>
  </si>
  <si>
    <t>2240000000</t>
  </si>
  <si>
    <t>22</t>
  </si>
  <si>
    <t>2240100000</t>
  </si>
  <si>
    <t>Комплекс процессных мероприятий "Осуществление переданных государственных полномочий"</t>
  </si>
  <si>
    <t>2241100000</t>
  </si>
  <si>
    <t>Комплекс процессных мероприятий "Исполнение иных функций и полномочий органов местного самоуправления"</t>
  </si>
  <si>
    <t>2241200000</t>
  </si>
  <si>
    <t>Комплекс процессных мероприятий "Обеспечение деятельности органов местного самоуправления, содержания и эксплуатации зданий и объектов"</t>
  </si>
  <si>
    <t>2241300000</t>
  </si>
  <si>
    <t>Комплекс процессных мероприятий "Реализация полномочий органов местного самоуправления в сфере строительства, реконструкции, ремонта, технического обслуживания объектов жилищного, промышленного, гражданского строительства, объектов коммунального, социально-культурного назначения, а также реализация полномочий в сфере владения и пользования муниципальным имуществом"</t>
  </si>
  <si>
    <t>2241400590</t>
  </si>
  <si>
    <t>Муниципальная программа "Формирование комфортной городской среды города Мегиона"</t>
  </si>
  <si>
    <t>2300000000</t>
  </si>
  <si>
    <t>23</t>
  </si>
  <si>
    <t>231И455550</t>
  </si>
  <si>
    <t>Региональный проект "Формирование комфортной городской среды"</t>
  </si>
  <si>
    <t>И4</t>
  </si>
  <si>
    <t>2341200000</t>
  </si>
  <si>
    <t>Комплекс процессных мероприятий  "Повышение качества и комфорта территорий общего пользования"</t>
  </si>
  <si>
    <t>Муниципальная программа "Молодежная политика города Мегиона"</t>
  </si>
  <si>
    <t>2440000000</t>
  </si>
  <si>
    <t>24</t>
  </si>
  <si>
    <t>Комплекс процессных мероприятий "Организация и проведение мероприятий творческой, спортивной, профилактической, гражданско-патриотической и добровольческой направленности городского уровня"</t>
  </si>
  <si>
    <t>2441199990</t>
  </si>
  <si>
    <t>Комплекс процессных мероприятий "Реализация и обеспечение деятельности муниципальных учреждений молодежной политики"</t>
  </si>
  <si>
    <t>2441200590</t>
  </si>
  <si>
    <t>Комплекс процессных мероприятий "Предоставление субсидии АНО "Молодежный центр города Мегиона" для реализации молодежной политики, материально-технического оснащения учреждений"</t>
  </si>
  <si>
    <t>2441361600</t>
  </si>
  <si>
    <t>Комплекс процессных мероприятий "Организация временного трудоустройства несовершеннолетних граждан"</t>
  </si>
  <si>
    <t>2441400000</t>
  </si>
  <si>
    <t>Муниципальная программа "Развитие образования"</t>
  </si>
  <si>
    <t>2500000000</t>
  </si>
  <si>
    <t>25</t>
  </si>
  <si>
    <t>Региональные проекты, направленные на достижение целей, показателей и решение задач национальных проекта</t>
  </si>
  <si>
    <t>2510000000</t>
  </si>
  <si>
    <t>Региональный проект "Все лучшее детям"</t>
  </si>
  <si>
    <t>251Ю400000</t>
  </si>
  <si>
    <t>Ю4</t>
  </si>
  <si>
    <t>Региональный проект "Педагоги и наставники"</t>
  </si>
  <si>
    <t>251Ю600000</t>
  </si>
  <si>
    <t>Ю6</t>
  </si>
  <si>
    <t>2540000000</t>
  </si>
  <si>
    <t>2540100000</t>
  </si>
  <si>
    <t>Комплекс процессных мероприятий "Развитие системы дошкольного и общего образования"</t>
  </si>
  <si>
    <t>2541100000</t>
  </si>
  <si>
    <t>Комплекс процессных мероприятий "Предоставление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образования"</t>
  </si>
  <si>
    <t>2541284050</t>
  </si>
  <si>
    <t>Комплекс процессных мероприятий  "Предоставление субсидий в целях финансового обеспечения исполнения муниципального социального заказа на оказание муниципальных услуг в социальной сфере"</t>
  </si>
  <si>
    <t>2541361700</t>
  </si>
  <si>
    <t>Комплекс процессных мероприятий  "Развитие системы, методического и информационного сопровождения традиционных, муниципальных и региональных мероприятий дошкольного и общего образования</t>
  </si>
  <si>
    <t>2541499990</t>
  </si>
  <si>
    <t>Комплекс процессных мероприятий  "Развитие и организационное обеспечение деятельности (оказание услуг) в муниципальных организаций"</t>
  </si>
  <si>
    <t>2541500590</t>
  </si>
  <si>
    <t>Комплекс процессных мероприятий  "Организация питания в муниципальных общеобразовательных организациях"</t>
  </si>
  <si>
    <t>2541600000</t>
  </si>
  <si>
    <t>Комплекс процессных мероприятий "Организация отдыха и оздоровления детей и подростков"</t>
  </si>
  <si>
    <t>2541700000</t>
  </si>
  <si>
    <t>Комплекс процессных мероприятий "Обеспечение комплексной безопасности образовательных организаций"</t>
  </si>
  <si>
    <t xml:space="preserve">Комплекс процессных мероприятий "Проведение мероприятий по приведению в нормативное состояние антитеррористической защищенности объектов (территорий) образовательных организаций "    
</t>
  </si>
  <si>
    <t>Комплекс процессных мероприятий "Подготовка  образовательных организаций  к осенне-зимнему периоду, к новому учебному году"</t>
  </si>
  <si>
    <t>2542099990</t>
  </si>
  <si>
    <t>Комплекс процессных мероприятий "Благоустройство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площадок"</t>
  </si>
  <si>
    <t>2542200000</t>
  </si>
  <si>
    <t>Комплекс процессных мероприятий "Капитальный ремонт муниципальных учреждений культуры, образования, спорта и иных социальных учреждений"</t>
  </si>
  <si>
    <t>2542300000</t>
  </si>
  <si>
    <t>Комплекс процессных мероприятий "Реализация инициативных проектов, отобранных по результатам конкурса"</t>
  </si>
  <si>
    <t>Непрограммные расходы органов местного самоуправления</t>
  </si>
  <si>
    <t>4000000000</t>
  </si>
  <si>
    <t>40</t>
  </si>
  <si>
    <t>0</t>
  </si>
  <si>
    <t>Непрограммное направление деятельности "Обеспечение деятельности органов местного самоуправления"</t>
  </si>
  <si>
    <t>4000100000</t>
  </si>
  <si>
    <t>Непрограммное направление деятельности "Формирование резервного фонда администрации города"</t>
  </si>
  <si>
    <t>4000299990</t>
  </si>
  <si>
    <t>Непрограммное направление деятельности "Реализация иных полномочий органов местного самоуправления"</t>
  </si>
  <si>
    <t>4000371603</t>
  </si>
  <si>
    <t>Непрограммное направление деятельности "Осуществление переданных государственных полномочий"</t>
  </si>
  <si>
    <t>4000400000</t>
  </si>
  <si>
    <t>Непрограммное направление деятельности "Реализация норм, установленных Бюджетным кодексом Российской Федерации"</t>
  </si>
  <si>
    <t>4000599990</t>
  </si>
  <si>
    <t>ИТОГО</t>
  </si>
  <si>
    <t xml:space="preserve">(+) 600,0 тыс. рублей – увеличен объем бюджетных ассигнований на 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6,1 тыс. рублей - увеличен объем бюджетных ассигнований в целях обеспечения доли софинансирования субсидии ХМАО (на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самоуправления) (средства местного бюджета)                                                                                                                                                                                                                                      </t>
  </si>
  <si>
    <t>(-) 1 544,4 тыс. рублей – уменьшен объем бюджетных ассигнований на организацию праздничных мероприятий, посвященных 45-ой годовщине образования города Мегиона (средства местного бюджета)</t>
  </si>
  <si>
    <t>Комплекс процессных мероприятий "Субсидии некоммерческим организациям (за исключением государственных (муниципальных) учреждений, осуществляющих деятельность в сфере культуры"</t>
  </si>
  <si>
    <t>(+) 170 000,0 тыс. рублей - увеличен объем бюджетных ассигнований за счет бюджетных ассигнований резервного фонда Правительства Ханты-Мансийского автономного округа – Югры в целях оплаты задолженности организаций коммунального комплекса за потребленные топливно-энергетические ресурсы (средства бюджета автономного округа)</t>
  </si>
  <si>
    <t>Комплекс процессных мероприятий "Повышение уровня благоустройства и комфорта дворовых территорий в условиях сложившейся застройки"</t>
  </si>
  <si>
    <t>(+) 2 488,1 тыс. рублей - увеличен объем бюджетных ассигнований на обеспечение заработной платы и начислений на оплату труда (средства местного бюджета)</t>
  </si>
  <si>
    <t xml:space="preserve">(+) 22 708,1 тыс. рублей – увеличен объем бюджетных ассигнований на реализацию полномочий в области строительства и жилищных отношений  в части предоставления субсидии на приобретение жилых помещений в собственность участникам специальной военной операции, членам их семей, состоящим на учете в качестве нуждающихся в жилых помещениях (средства бюджета автономного округа - 21 118,5 тыс. рублей, средства местного бюджета - 1 589,6 тыс. рублей);                                                                                                                                                                    (-) 1 900,0 тыс. рублей – уменьшен объем бюджетных ассигнований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 (средства федерального бюджета);     
(-) 100,5 тыс. рублей – уменьшен объем бюджетных ассигнований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 (средства федерального бюджета) </t>
  </si>
  <si>
    <t>(+) 9 446,4 тыс. рублей - увеличен объем бюджетных ассигнований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МРОТ;                                                                                                                                           (+) 6,9 тыс. рублей - увеличен объем бюджетных ассигнований для оплаты налога на имущество муниципальных учреждений за 3 квартал 2025 года (средства местного бюджета)</t>
  </si>
  <si>
    <t xml:space="preserve">(-) 2 373,5 тыс. рублей - уменьшен объем бюджетных ассигнований для организации и проведения мероприятий, посвященных 45-ой годовщине образования города Мегиона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6,1 тыс. рублей - уменьшен объем бюджетных ассигнований в целях обеспечения доли софинансирования субсидии ХМАО (на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самоуправления) (средства местного бюджета)                                                                                                                                                                                                                                      </t>
  </si>
  <si>
    <t>(+) 35,9 тыс. рублей - увеличен объем бюджетных ассигнований для оплаты налога на имущество муниципального учреждения за 3 квартал 2025 года (средства местного бюджета);                                                                                                                                                                         (+)1 730,0 тыс. .рублей -  увеличен объем бюджетных ассигнований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(средства местного бюджета)</t>
  </si>
  <si>
    <t>(+) 516 884,3 тыс. рублей – увеличен объем бюджетных ассигнований на обеспечение устойчивого сокращения непригодного для проживания жилищного фонда (средства бюджета автономного округа - 480 702,4 тыс. рублей, средства местного бюджета - 36181,9 тыс. рублей)</t>
  </si>
  <si>
    <t>(+) 2 793,2 тыс. рублей -  увеличен объем бюджетных ассигнований на реализацию дополнительного образования в рамках реализации социального сертификата (предоставление субсидии юридическим лицам (кроме некоммерческих), индивидуальным предпринимателям, физическим лицам-производителям товаров, работ, услуг) (средства местного бюджета)</t>
  </si>
  <si>
    <t>(+) 350,0 тыс. рублей - увеличен объем бюджетных ассигнований на материально-техническое оснащение центра тестирования Всероссийского физкультурно-спортивного комплекса "Готов к труду и обороне" и спортивно-массовой работы (средства Правительства Тюменской области -расп.от 29.08.25 №763-рп)</t>
  </si>
  <si>
    <t xml:space="preserve">(+) 110,0 тыс. рублей - увеличен объем бюджетных ассигнований в целях предоставления субсидии некоммерческим организациям (за исключением государственных (муниципальных) учреждений (проведение мероприятий) (средства местного бюджета)
</t>
  </si>
  <si>
    <t xml:space="preserve">(+) 350,0 тыс. рублей - увеличен объем бюджетных ассигнований на проведение Первенства города Мегиона по фигурному катанию на коньках, посвященному 80- ти летию Победы в Великой Отечественной войне (средства местного бюджета)                                   </t>
  </si>
  <si>
    <t>(+) 535,0 тыс. рублей – увеличен объем бюджетных ассигнований на ремонт спортивного турникового комплекса (средства местного бюджета)</t>
  </si>
  <si>
    <t>(+) 850,0 тыс. рублей -  увеличен объем бюджетных ассигнований на оплату административных штрафов в установленные законодательством строки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(+) 7 859,1 тыс. рублей - увеличен объем бюджетных ассигнований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(средства местного бюджета)</t>
  </si>
  <si>
    <t>(+) 40,0 тыс. рублей - увеличен объем бюджетных ассигнований на выплаты денежного вознаграждения к Почетным грамотам главы города Мегиона (средства местного бюджета)</t>
  </si>
  <si>
    <t>(+) 576,0 тыс. рублей - увеличен объем бюджетных ассигнований  на круглосуточную охрану памятников воинской славы г. Мегиона и пгт. Высокий (средства местного бюджета)</t>
  </si>
  <si>
    <t>(-) 576,0 тыс. рублей - уменьшен объем бюджетных ассигнований на круглосуточную охрану памятников воинской славы г. Мегиона и пгт. Высокий (средства местного бюджета)</t>
  </si>
  <si>
    <t>(+) 1 972,8 тыс. рублей - увеличен объем бюджетных ассигнований  на обустройство входной группы для беспрепятственного доступа маломобильных групп населения в жилом доме по ул.Заречная, д. 16 (2 подъезд) в г.Мегион (средства местного бюджета)</t>
  </si>
  <si>
    <t>(-) 1 972,8 тыс. рублей - уменьшен объем бюджетных ассигнований на обустройство входной группы для беспрепятственного доступа маломобильных групп населения в жилом доме по ул.Заречная, д. 16 (2 подъезд) в г.Мегион (средства местного бюджета)</t>
  </si>
  <si>
    <t>(+) 62 487,0 тыс. рублей – увеличен объем бюджетных ассигнований на строительство (реконструкция) автомобильных дорог общего пользования местного значения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3 288,8 тыс. рублей – увеличен объем бюджетных ассигнований  на строительство автомобильной дороги по улице Нефтяников от улицы Заречная до улицы Губкина г. Мегиона (средства местного бюджета)</t>
  </si>
  <si>
    <t>(-) 2 487,0 тыс. рублей – уменьшен объем бюджетных ассигнований на капитальный ремонт и ремонт автомобильных дорог общего пользования местного значения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(+) 992,1 тыс. рублей - увеличен объем бюджетных ассигнований на монтаж светофорного объекта по ул. Кузьмина г. Мегиона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(-) 198,4 тыс. рублей -  уменьшен объем бюджетных ассигнований  на содержание и текущий ремонт автомобильных дорог,  проездов, элементов обустройства улично-дорожной сети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2 487,0 тыс. рублей -  уменьшен объем бюджетных ассигнований на снос гаражей, сараев, ветхих строений, домов и содержание и текущий ремонт автомобильных дорог,  проездов, элементов обустройства улично-дорожной сети (средства местного бюджета)</t>
  </si>
  <si>
    <t>(+) 25 648,5 тыс. рублей - увеличен объем бюджетных ассигнований на содержание и текущий ремонт автомобильных дорог,  проездов, элементов обустройства улично-дорожной сети, объектов внешнего благоустройства (средства местного бюджета)</t>
  </si>
  <si>
    <t xml:space="preserve">(+) 25 938,9 тыс. рублей - увеличен объем бюджетных ассигнований  на реализацию. мероприятий в области строительства и жилищных отношений в части приобретения жилья и осуществления выплат гражданам, в чьей собственности находятся жилые помещения, входящие в аварийный жилищный фонд (средства бюджета автономного округа - 24 123,1 тыс. рублей, средства местного бюджета - 1 815,7 тыс. рублей);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3 405,3 тыс. рублей - уменьшен объем бюджетных ассигнований в целях реализации мероприятий в области строительства и жилищных отношений (средства местного бюджета);                                                                                                                                                                                   (-) 25 259,3 тыс. рублей - уменьшен объем бюджетных ассигнований  на исполнение исполнительных документов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(+) 4 826,3 тыс. рублей - увеличен объем бюджетных ассигнований в целях обеспечения доли софинансирования при реализации мероприятий по обеспечению устойчивого сокращения непригодного для проживания жилищного фонда (средства местного бюджета)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</si>
  <si>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(-) 3 100,7 тыс. рублей – уменьшен объем бюджетных ассигнований по реализации полномочий в сфере жилищно-коммунального комплекса (средства бюджета автономного округа - 2 700,7 тыс. рублей, средства местного бюджета - 400,0 тыс. рублей);</t>
  </si>
  <si>
    <t>(-) 36,4 тыс. рублей - уменьшен объем бюджетных ассигнований на обеспечение доли софинансирования для реализации полномочий по обеспечению жильем молодых семей (средства местного бюджета);                                                                                                                                        (-) 1 331,8 тыс. рублей - уменьшен объем бюджетных ассигнований на исполнение исполнительных документов, оплату судебной оценочной экспертизы (средства местного бюджета)</t>
  </si>
  <si>
    <t>(+) 9 662,3 тыс. рублей - увеличен объем бюджетных ассигнований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(+) 346,2 тыс. рублей - увеличен объем бюджетных ассигнований на компенсацию расходов по оплате стоимости проезда и провоза багажа к месту использования отпуска и обратно (средства местного бюджета)</t>
  </si>
  <si>
    <t>(-) 5,8 тыс. рублей - уменьшен объем бюджетных ассигнований  на предоставление единовременной денежной выплаты отдельным категориям граждан ко Дню Победы в Великой Отечественной войне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355,8 тыс. рублей - уменьшен объем бюджетных ассигнований  на исполнение исполнительных документов, осуществление представительских расходов, оплаты исполнительского сбора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43 078,7 тыс. рублей - увеличен объем бюджетных ассигнований на обеспечение заработной платы и начислений на оплату труда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1 500,0 тыс. рублей - увеличен объем бюджетных ассигнований на компенсацию расходов по оплате стоимости проезда и провоза багажа к месту использования отпуска и обратно (средства местного бюджета);                                                                                                                                                                      (+) 100,0 тыс. рублей - увеличен объем бюджетных ассигнований на командировочные расходы в сумме 100,0 тыс. рублей (средства местного бюджета)</t>
  </si>
  <si>
    <t>(+) 15 455,8 тыс. рублей - увеличен объем бюджетных ассигнований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900,0 тыс. рублей - увеличен объем бюджетных ассигнований на компенсацию расходов по оплате стоимости проезда и провоза багажа к месту использования отпуска и обратно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(+) 346,8 тыс. рублей - увеличен объем бюджетных ассигнований на осуществление представительских расходов, приобретение офисной мебели (средства местного бюджета)</t>
  </si>
  <si>
    <t xml:space="preserve">(-) 57 443,2 тыс. рублей – уменьшен объем бюджетных ассигнований на реализацию мероприятий по модернизации коммунальной инфраструктуры (средства бюджета автономного округа - 49 890,2 тыс. рублей, средства федерального бюджета - 7 553,0 тыс. рублей);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10 137,2 тыс. рублей - уменьшен объем бюджетных ассигнований на  единовременную выплату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операции, содержание и текущий ремонт автомобильных дорог, проездов, элементов обустройства улично-дорожной сети (средства местного бюджета)  
</t>
  </si>
  <si>
    <t xml:space="preserve">(+) 3 330,0 тыс. рублей - увеличен объем бюджетных ассигнований на реализацию мероприятий по организации отдыха и оздоровления детей в период летних каникул (средства местного бюджета).  </t>
  </si>
  <si>
    <t xml:space="preserve">(+) 255,0 тыс. рублей - увеличен объем бюджетных ассигнований на компенсацию расходов по оплате стоимости проезда и провоза багажа к месту использования отпуска и обратно, из них путем внутреннего перераспределения - 200,0 тыс. рублей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2 500,0 тыс. рублей - уменьшен объем бюджетных ассигнований на приобретение жалюзи, потолочных креплений, стендов и табличек в учебные кабинеты МАОУ «СОШ №4» (средства местного бюджета).    </t>
  </si>
  <si>
    <t>(+) 116 306,0 тыс. рублей - увеличен объем бюджетных ассигнований  с Комплекса процессных мероприятий "Капитальный ремонт муниципальных учреждений культуры, образования, спорта и иных социальных учреждений  (средства бюджета автономного округа).</t>
  </si>
  <si>
    <t>(+) 150,0 тыс. рублей - увеличен объем бюджетных ассигнований на компенсацию расходов по оплате стоимости проезда и провоза багажа к месту использования отпуска и обратно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(+) 570,9 тыс. рублей - увеличен объем бюджетных ассигнований на обеспечение заработной платы и начислений на оплату труда  (Дума города) (средства местного бюджета)</t>
  </si>
  <si>
    <t>(+) 1 251,4 тыс. рублей - увеличен объем бюджетных ассигнований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73,8 тыс. рублей - уменьшен объем бюджетных ассигнований по компенсации расходов оплаты стоимости проезда и провоза багажа к месту использования отпуска и обратно (средства местного бюджета)</t>
  </si>
  <si>
    <t>(+) 360,0 тыс. рублей – увеличен объем бюджетных ассигнований за счет бюджетных ассигнований резервного фонда Правительства Ханты-Мансийского автономного округа – Югры (средства бюджета автономного округа);                                                                                                                                                                  (+) 5,8 тыс. рублей - увеличен объем бюджетных ассигнований на единовременную денежную выплату отдельным категориям граждан ко Дню Победы в Великой Отечественной войне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(+) 14 450,0 тыс. рублей - увеличен объем бюджетных ассигнований на  единовременную выплату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23 391,3 тыс. рублей - увеличен объем бюджетных ассигнований на исполнение исполнительных документов, оплату судебной оценочной экспертизы, исполнительского сбора (средства местного бюджета)</t>
  </si>
  <si>
    <t>Комплекс процессных мероприятий " Развитие духовно-нравственных основ и самобытной культуры российского казачества и повышение его роли в воспитании подрастающего поколения в духе патриотизма"</t>
  </si>
  <si>
    <t>(+) 60,0 тыс. рублей - увеличен объем бюджетных ассигнований для организации и проведения праздничного концерта ко Дню Сибирского казачьего войска (средства местного бюджета)</t>
  </si>
  <si>
    <t>(-) 44,2 тыс. рублей – уменьшен объем бюджетных ассигнований на реализацию мероприятий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79,6 тыс. рублей - увеличен объем бюджетных ассигнований на реализацию мероприятий по пропаганде культуры, традиций и обычаев народов, проживающих на территории ХМАО-Югры и в городе Мегионе (средства местного бюджета)</t>
  </si>
  <si>
    <t>(-) 393,4 тыс. рублей – уменьшен объем бюджетных ассигнований на реализацию мероприятий по сносу гаражей, сараев, ветхих строений, домов (средства местного бюджета);                                                                                                                                                                                       (+) 120,0 тыс. рублей - увеличен объем бюджетных ассигнований в целях приобретения мобильных ограждений для обеспечения антитеррористической защищенности во время проведения городских мероприятий (средства местного бюджета);                                                                                       (+)150,0 тыс. рублей - увеличен объем бюджетных ассигнований в целях приобретения мобильных ограждений для обеспечения антитеррористической защищенности во время проведения городских мероприятий (средства местного бюджета)</t>
  </si>
  <si>
    <t xml:space="preserve">(-) 43,0 тыс. рублей – уменьшен объем бюджетных ассигнований, путем внутреннего перераспределения, на реализацию мероприятий в рамках программы (средства местного бюджета);                                                                                                                                                                                                              (-) 150,0 тыс. рублей – уменьшен объем бюджетных ассигнований на приобретение мобильных складных металлодетекторов (средства местного бюджета)        </t>
  </si>
  <si>
    <t>(-) 144,0 тыс.рублей - уменьшен объем бюджетных ассигнований на реализацию мероприятий муниципальной программы "Укрепление межнационального и межконфессионального согласия, профилактика экстремизма и терроризма в городе Мегионе" (средства местного бюджета)</t>
  </si>
  <si>
    <t>(-) 28,4 тыс.рублей - уменьшен объем бюджетных ассигнований на реализацию мероприятий муниципальной программы "Укрепление межнационального и межконфессионального согласия, профилактика экстремизма и терроризма в городе Мегионе" (средства местного бюджета)</t>
  </si>
  <si>
    <t>(+) 157,5 тыс. рублей - увеличен объем бюджетных ассигнований на замену кровельного покрытия из рулонных материалов объектов музея-стойбища рода Казамкиных для МАУ «Региональный историко-культурный и экологический центр» (расп. Правительства Тюменской области от 18.04.2025 №345-рп) (средства резервного фонда Правительства Тюменской области);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107,0 тыс. рублей - увеличен объем бюджетных ассигнований на организацию и проведение мероприятий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300,0 тыс. рублей - увеличен объем бюджетных ассигнований на финансирование наказов избирателей депутатам Думы Ханты-Мансийского автономного округа - Югры на разработку и создание макета книги "Медвежьи игрища обских угров: история возрождения" МАУ "Региональный историко-культурный и экологический центр" (средства бюджета автономного округа)</t>
  </si>
  <si>
    <t>(+) 32,0 тыс. рублей -  увеличен объем бюджетных ассигнований на материально-техническое оснащение учреждения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11 110,0 тыс. рублей - увеличен объем бюджетных ассигнований на обустройство социально-культурного объекта г.Мегиона МАУ "Дворец искусств" (благотворительное пожертвование ПАО "Славнефть-Мегионнефтегаз")</t>
  </si>
  <si>
    <t>(-) 224,8, тыс. рублей - уменьшен объем бюджетных ассигнований для оплаты командировочных расходов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30,0 тыс. рублей - уменьшен объем бюджетных ассигнований для  оплаты расходов по обслуживанию автономной системы оповещения и управления эвакуацией при угрозе совершения террористического акта (средства местного бюджета)</t>
  </si>
  <si>
    <t>(+) 400,0 тыс. рублей - увеличен объем бюджетных ассигнований на финансирование наказов избирателей депутатам Думы Ханты -Мансийского автономного округа - Югры на организацию и проведение мероприятий, посвященных Году защитника отечества, Году исторического наследия, 80-летию Победы в Великой Отечественной войне 1941-1945 годов(средства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                      (+) 2 373,5 тыс. рублей - увеличен объем бюджетных ассигнований для организации и проведения мероприятий, посвященных 45-ой годовщине образования города Мегиона (средства местного бюджета);                                                                                                                                       (+) 3 254,0 тыс. рублей - увеличен объем бюджетных ассигнований для организации и проведения мероприятий, посвященных «Дню города» (средства местного бюджета);                                                                                                                                                                                                                                (+) 1 730,0 тыс. рублей - увеличен объем бюджетных ассигнований на организацию праздничных мероприятий, посвященных 45-ой годовщине образования города Мегиона (средства местного бюджета);                                                                                                                                                                                                     (-) 110,0 тыс. рублей - уменьшен объем бюджетных ассигнований в целях предоставления субсидии некоммерческим организациям (за исключением государственных (муниципальных) учреждений (проведение мероприятий)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1 248,0 тыс. рублей - увеличен объем бюджетных ассигнований на организацию и проведение мероприятий (средства местного бюджета)</t>
  </si>
  <si>
    <t xml:space="preserve">(+) 224,8 тыс. рублей - увеличен объем бюджетных ассигнований для оплаты командировочных расходов (МБУ «Детская художественная школа») (средства местного бюджета);                                                                                                                                                                                        (+) 30,0 тыс. рублей - увеличен объем бюджетных ассигнований для  оплаты расходов по обслуживанию автономной системы оповещения и управления эвакуацией при угрозе совершения террористического акта (МБУ «Детская художественная школа»)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13,7 тыс. рублей -  увеличен объем бюджетных ассигнований для оплаты налога на имущество муниципальных учреждений за 3 квартал 2025 года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3 254,0 тыс. рублей - уменьшен объем бюджетных ассигнований для организации и проведения мероприятий, посвященных «Дню города» (средства местного бюджета);                                                                                                                                                                                                                                (+) 77 182,6 тыс. рублей -  увеличен объем бюджетных ассигнований на достижение целевого показателя по оплате труда категорий работников, подпадающих под действие Указов Президента Российской Федерации от 2012 года,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(средства местного бюджета);                                                                                                                                                        (+) 1936,5 тыс. рублей - увеличен объем бюджетных  на компенсацию расходов по оплате стоимости проезда и провоза багажа к месту использования отпуска и обратно работников учреждений культуры и дополнительного образования детей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1387,0 тыс. рублей -уменьшен объем бюджетных ассигнований для организации и проведения мероприятий (средства местного бюджета)                                                                                                        </t>
  </si>
  <si>
    <t xml:space="preserve">(-) 350,0 тыс. рублей - уменьшен объем бюджетных ассигнований в целях реализации программных мероприятий (проведение Первенства города Мегиона по фигурному катанию на коньках, посвященному 80- ти летию Победы в Великой Отечественной войне)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1 810,9 тыс. рублей - увеличен объем бюджетных ассигнований для оплаты начислений на выплаты по оплате труда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(+) 338,1 тыс. рублей -  увеличен объем бюджетных ассигнований на финансирование наказов избирателей депутатам Думы Ханты -Мансийского автономного округа - Югры (средства бюджета автономного округа);                                                                                                                                         (+ ) 29 674,3 тыс. рублей -  увеличен объем бюджетных ассигнований на достижение целевого показателя по оплате труда категорий работников, подпадающих под действие Указов Президента Российской Федерации от 2012 года,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 (средства местного бюджета);                                                                                                                                                  (+) 1 580,6 тыс. рублей -  увеличен объем бюджетных  на компенсацию расходов по оплате стоимости проезда и провоза багажа к месту использования отпуска и обратно работников учреждений спорта (средства местного бюджета);                                                                                                                                   (+) 2 008,8 тыс. рублей - увеличен объем бюджетных ассигнований для оплаты налога на имущество муниципальных учреждений за 3 квартал 2025 года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(+) 281,1 тыс. рублей -увеличен объем бюджетных ассигнований на организацию и проведение мероприятий (средства местного бюджета)                                                                                                                                                                                                         </t>
  </si>
  <si>
    <t xml:space="preserve">(-) 1 810,9 тыс. рублей - уменьшен объем бюджетных ассигнований для оплаты начислений на выплаты по оплате труда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392,8 тыс. рублей - увеличен объем бюджетных ассигнований на достижение целевого показателя по оплате труда категорий работников, подпадающих под действие Указов Президента Российской Федерации от 2012 года,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(средства местного бюджета)                  </t>
  </si>
  <si>
    <t>(-) 1 199,0 тыс. рублей – уменьшен объем бюджетных ассигнований на услуги по погребению умерших (копка могил)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(+) 595,4 тыс. рублей – увеличен объем бюджетных ассигнований  на разработку проекта санитарно-защитной зоны для кладбищ в г. Мегион (средства местного бюджета);                                                                                                                                                                                                              (-) 1 428,0 тыс. рублей – уменьшен объем бюджетных ассигнований на ремонт автомобильных дорог общего пользования местного значения, ремонт и содержание площадей и скверов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19,5 тыс. рублей -  уменьшен объем бюджетных ассигнований  на оплату административных штрафов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415,0 тыс. рублей -  уменьшен объем бюджетных ассигнований  в целях реализации мероприятия «Ливневая канализация по ул.Нефтеразведочная на пересечении улиц Советская – Львовская в г.Мегион» (средства местного бюджета)</t>
  </si>
  <si>
    <t xml:space="preserve">(-) 156,0 тыс. рублей – уменьшен объем бюджетных ассигнований  на ремонт и содержание площадей и скверов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68,5 тыс. рублей -  уменьшен объем бюджетных ассигнований на оплату административных штрафов (средства местного бюджета) </t>
  </si>
  <si>
    <t>(+) 100,0 тыс. рублей - увеличен объем бюджетных ассигнований на ликвидацию несанкционированных свалок в соответствии с соглашением о соблюдении социально-экономических и экологических интересов населения муниципального образования город Мегион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1 140,0 тыс. рублей – уменьшен объем бюджетных ассигнований  на обустройство противопожарной минерализованной полосы в г. Мегионе и пгт. Высокий (средства местного бюджета);                                                                                                                                                                                                                  (+) 412,1 тыс. рублей - увеличен объем бюджетных ассигнований на вывоз твердых коммунальных отходов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(+) 300,0 тыс. рублей - увеличен объем бюджетных ассигнований на природоохранные мероприятия (ликвидация свалок) (средства местного бюджета)</t>
  </si>
  <si>
    <t>(-) 1 390,4 тыс. рублей – уменьшен объем бюджетных ассигнований  на содержание кладбища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1 140,0 тыс. рублей – увеличен объем бюджетных ассигнований на обустройство противопожарной минерализованной полосы в г. Мегионе и пгт. Высокий (средства местного бюджета)</t>
  </si>
  <si>
    <t>(+) 1 199,0 тыс. рублей - увеличен объем бюджетных ассигнований на финансирование наказов избирателей депутатам Думы Ханты-Мансийского автономного округа - Югры (оказание финансовой помощи на приобретение арт-объекта)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582,0 тыс. рублей – уменьшен объем бюджетных ассигнований  на ремонт и содержание площадей и скверов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286,2 тыс. рублей – уменьшен объем бюджетных ассигнований на приобретение товаров, выполнение работ в рамках подготовки к празднованию 80-летия Победы в ВОВ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(-) 2 445,0 тыс. рублей – уменьшен объем бюджетных ассигнований на монтаж светофорного объекта, снос ветхих строений, домов, разработку проекта санитарно-защитной зоны для кладбищ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406,2 тыс. рублей – увеличен объем бюджетных ассигнований на обустройство пешеходного тротуара с торца многоквартирного дома №3/4 по ул. Строителей до пр. Победы, г. Мегион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600,0 тыс. рублей – увеличен объем бюджетных ассигнований путем внутреннего перераспределения на благоустройство территории административного здания по ул. Нефтяников, 8 (средства местного бюджета);                                                                                                                                                                                                                         (+) 390,0 тыс. рублей – увеличен объем бюджетных ассигнований  на устройство памятной стелы участникам СВО на площади в районе мемориала "Ко дню победы" (памятник "Войну освободителю") по ул. Советская в г. Мегион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30,0 тыс. рублей -  уменьшен объем бюджетных ассигнований  на содержание автомобильных дорог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25 110,0 тыс. рублей – увеличен объем бюджетных ассигнований на ремонт, благоустройство (обустройство) центральной площади г.Мегиона, в т.ч. приобретение и установку оборудования (благотворительное пожертвование ПАО"Славнефть-Мегионнефтегаз")</t>
  </si>
  <si>
    <t xml:space="preserve">(+) 2 950,0 тыс. рублей - увеличен объем целевых межбюджетных трансфертов на реализацию мероприятий по содействию трудоустройству граждан (организация временного трудоустройства несовершеннолетних в возрасте от 14 до 18 лет в свободное от учёбы время)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2 245,1 тыс. рублей -  увеличен объем бюджетных ассигнований на  реализацию мероприятий по содействию трудоустройству граждан   (организация временного трудоустройства несовершеннолетних в возрасте от 14 до 18 лет в свободное от учёбы время) (средства местного бюджета)                                                                                                                                 </t>
  </si>
  <si>
    <t>(-) 4 950,0 тыс. рублей - уменьшен объем бюджетных ассигнований на  единовременную выплату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6 589,5 тыс. рублей - уменьшен объем бюджетных ассигнований в целях обеспечения доли софинансирования при реализации мероприятий по обеспечению устойчивого сокращения непригодного для проживания жилищного фонда (средства местного бюджета)</t>
  </si>
  <si>
    <t xml:space="preserve">(+) 970,5 тыс. рублей - увеличен объем бюджетных ассигнований на обеспечение деятельности территориальной психолого-медико-педагогической комиссии (МКУ «ЦРО») (средства местного бюджета);                                                                                                                                             (+) 2 513,6 тыс. рублей -   увеличен объем бюджетных ассигнований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248,6 тыс. рублей -  увеличен объем бюджетных ассигнований на компенсацию расходов по оплате стоимости проезда и провоза багажа к месту использования отпуска и обратно  (средства местного бюджета)
</t>
  </si>
  <si>
    <t>(-) 11 789,1 тыс. рублей - уменьшен объем бюджетных ассигнований  на  социальную поддержку отдельных категорий обучающихся 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(+) 10 402,6 тыс. рублей - увеличен объем бюджетных ассигнований  на организацию бесплатного питания обучающихся, получающих начальное общее образование (средства бюджета автономного округа);                                                                                                                                                                                                (-) 722,9 тыс. рублей - уменьшен объем бюджетных ассигнований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бюджета);
(-) 3 102,2 тыс. рублей - уменьшен объем бюджетных ассигнований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</si>
  <si>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 xml:space="preserve">(+) 111,8 тыс. рублей - увеличен объем бюджетных ассигнований по реализацию программных мероприятий 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2 166,8 тыс. рублей - увеличен объем бюджетных ассигнований на проведение мероприятий по приведению в нормативное состояние антитеррористической защищенности объектов (территорий) организаций (средства местного бюджета)                                                    </t>
  </si>
  <si>
    <t>(+) 255,2 тыс. рублей - увеличен объем бюджетных ассигнований для реализации мероприятий по подготовке учреждения к осенне-зимнему периоду (средства местного бюджета);                                                                                                                                                                                                                             (-) 111,8 тыс. рублей - уменьшен объем бюджетных ассигнований на реализацию программных мероприятий 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(+) 617,1 тыс. рублей - увеличен объем бюджетных ассигнований на мероприятия по подготовке учреждений к осенне-зимнему периоду (средства местного бюджета)</t>
  </si>
  <si>
    <t>(+) 71 559,6 тыс. рублей - увеличен объем бюджетных ассигнований на 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путем перераспределения с 2026 года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4 184,8 тыс. рублей - уменьшен объем бюджетных ассигнований, путем внутреннего перераспределения на реализацию программных мероприятий и (средства местного бюджета)</t>
  </si>
  <si>
    <t>(-) 116 306,0 тыс. рублей - уменьшен объем бюджетных ассигнований на капитальный ремонт муниципальных учреждений культуры, образования, спорта и иных социальных учреждений  путем перераспределения на реализацию Регионального проекта "Все лучшее детям" (средства бюджета автономного округа)</t>
  </si>
  <si>
    <t>(+) 12 300,0 тыс. рублей - увеличен объем бюджетных ассигнований на реализацию инициативных проектов, отобранных по результатам конкурса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1 733,8 тыс. рублей - увеличен объем бюджетных ассигнований  в целях обеспечения доли софинансирования средств, направленных на реализацию инициативных проектов, отобранных по результатам конкурса (МАОУ СОШ №4  - "Врач со школьной скамьи"; МАОУ СОШ №5 «Гимназия»" -Вкуснотория: новый взгляд на школьное питание") (инициативные платежи)</t>
  </si>
  <si>
    <t xml:space="preserve">(-) 600,0 тыс. рублей - уменьшен объем бюджетных ассигнований на благоустройство территории административного здания по ул. Нефтяников, 8 (средства местного бюджета)
</t>
  </si>
  <si>
    <t>(-) 200,0 тыс. рублей - уменьшен объем бюджетных ассигнований  на реализацию мероприятий (средства местного бюджета)</t>
  </si>
  <si>
    <t xml:space="preserve">(+) 556,5 тыс. рублей - увеличен объем бюджетных ассигнований в целях выполнения работ по замене трубопровода теплоснабжения от ввода в здание до узлов учета, корпуса №1 МАОУ "СОШ 4"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1 047,4 тыс. рублей - увеличен объем бюджетных ассигнований на проведение текущего ремонта крыльца МАОУ СОШ №2 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(+) 86,4 тыс. рублей - увеличен объем бюджетных ассигнований в целях устранения предписаний надзорных органов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545,4 тыс. рублей - увеличен объем бюджетных ассигнований для реализации мероприятий по устранению предписаний Роспотребнадзора по ХМАО Югре в целях обустройства ограждающих устройств отопительных приборов (МАОУ «СОШ №3 им.И.И.Рынкового»)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690,7 тыс. рублей - уменьшен объем бюджетных ассигнований на реализацию программных мероприятий 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390,0 тыс. рублей – уменьшен объем бюджетных ассигнований на устройство памятной стелы участникам СВО на площади в районе мемориала "Ко дню победы" (памятник "Войну освободителю") по ул. Советская в г. Мегион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546,5 тыс. рублей - уменьшен объем бюджетных ассигнований на проведение мероприятий по приведению в нормативное состояние антитеррористической защищенности объектов (территорий) организаций (средства местного бюджета)
 </t>
  </si>
  <si>
    <t>(+) 370,0 тыс. рублей - увеличен объем бюджетных ассигнований на финансирование наказов избирателей депутатам Думы Ханты -Мансийского автономного округа - Югры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(-) 281,1 тыс. рублей -уменьшен объем бюджетных ассигнований на организацию и проведение мероприятий (средства местного бюджета)</t>
  </si>
  <si>
    <t>(-) 60 000,0 тыс. рублей – уменьшен объем бюджетных ассигнований на капитальный ремонт и ремонт автомобильных дорог общего пользования местного значения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        (+) 258,6 тыс. рублей - увеличен объем бюджетных ассигнований  на разработку проектной документации "Наружное освещение улиц в г. Мегионе (ул.Первомайская,ул.Новая)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(-) 228,3 тыс. рублей – уменьшен объем бюджетных ассигнований на ремонт и содержание площадей и скверов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37 707,6 тыс. рублей – уменьшен объем бюджетных ассигнований на обеспечение устойчивого сокращения непригодного для проживания жилищного фонда (средства местного бюджета);                                                                                                                                                                                                (+) 11 795,2 тыс. рублей - увеличен объем бюджетных ассигнований на ремонт автомобильной дороги по ул. Абазарова в г. Мегионе (наружное электроосвещение) (средства местного бюджета);                                                                                                                                                              (-) 22 292,4 тыс. рублей -  уменьшен объем бюджетных ассигнований на содержание и текущий ремонт автомобильных дорог,  проездов, элементов обустройства улично-дорожной сети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599,3 тыс. рублей - увеличен объем бюджетных ассигнований на ремонт автомобильных дорог общего пользования местного значения (средства местного бюджета);                                                                                                                                                                                                                          (-) 1 140,1 тыс. рублей -  уменьшен объем бюджетных ассигнований на отсыпку территории и монтаж ворот на площадке для выгула собак по ул. Строителей, д.2 в г. Мегионе, оплату административных штрафов в установленные законодательством строки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415,0 тыс. рублей -  увеличен объем бюджетных ассигнований в целях реализации мероприятия «Ливневая канализация по ул.Нефтеразведочная на пересечении улиц Советская – Львовская в г.Мегион» (средства местного бюджета)</t>
  </si>
  <si>
    <t>(+) 1 719,0 тыс. рублей – увеличен объем бюджетных ассигнований  на ремонт и содержание площадей и скверов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(+) 267,9 тыс. рублей – увеличен объем бюджетных ассигнований на приобретение товаров, выполнение работ в рамках подготовки к празднованию 80-летия Победы в ВОВ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(+) 2 192,3 тыс. рублей – увеличен объем бюджетных ассигнований на снос гаражей, сараев, ветхих строений, домов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(+) 1 199,0 тыс. рублей – увеличен объем бюджетных ассигнований  на услуги по погребению умерших (копка могил)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(+) 923,4 тыс. рублей – увеличен объем бюджетных ассигнований  на закупку малых архитектурных форм (урны, лавочки)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(-) 3 650,1 тыс. рублей -  уменьшен объем бюджетных ассигнований на содержание и текущий ремонт автомобильных дорог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(-) 412,1 тыс. рублей -  уменьшен объем бюджетных ассигнований на вывоз твердых коммунальных отходов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(+) 1 390,3 тыс. рублей – увеличен объем бюджетных ассигнований путем внутреннего перераспределения на содержание кладбища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(+) 599,0 тыс. рублей -  увеличен объем бюджетных ассигнований на отсыпку территории и монтаж ворот на площадке для выгула собак по ул. Строителей, д.2 в г. Мегионе (средства местного бюджета);                                                                                                                                                                                                                           (-) 11,1 тыс. рублей -  уменьшен объем бюджетных ассигнований на оплату административных штрафов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14 650,0 тыс. рублей – увеличен объем бюджетных ассигнований на создание многофункциональной спортивно-игровой площадки для жителей г.Мегиона по ул.Заречная, д.18 (благотворительное пожертвование ПАО"Славнефть-Мегионнефтегаз")</t>
  </si>
  <si>
    <t xml:space="preserve">(+) 1 265,8 тыс. рублей - увеличен объем бюджетных ассигнований на финансирование наказов избирателей депутатам Думы Ханты-Мансийского автономного округа - Югры (средства бюджета автономного округа);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560,0 тыс. рублей - увеличен объем бюджетных ассигнований на приобретение оборудования для кабинета труда МАОУ "СОШ №9"  (фрезерно-гравировального станка с числовым программным управлением, оснащенным щитком-экраном из оргстекла) за счет средств резервного фонда Правительства Тюменской области (расп. Правительства Тюменской области от 18.04.2025 №339-рп) (средства резервного фонда Тюменской области);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556,5 тыс. рублей - уменьшен объем бюджетных ассигнований в целях выполнения работ по замене трубопровода теплоснабжения от ввода в здание до узлов учета корпуса №1 МАОУ "СОШ 4"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86,4 тыс. рублей - уменьшен объем бюджетных ассигнований для устранения предписаний надзорных органов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(-) 872,3 тыс. рублей - уменьшен объем бюджетных ассигнований для реализации мероприятий по подготовке учреждения к осенне-зимнему периоду (средства местного бюджета);                                                                                                                                                                                    (-) 545,4 тыс. рублей - уменьшен объем бюджетных ассигнований для реализации мероприятий по устранению предписаний Роспотребнадзора по ХМАО Югре в целях обустройства ограждающих устройств отопительных приборов (МАОУ «СОШ №3 им.И.И.Рынкового»)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970,5 тыс. рублей - уменьшен объем бюджетных ассигнований на обеспечение деятельности территориальной психолого-медико-педагогической комиссии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(+) 11 737,7 тыс. рублей -  увеличен объем бюджетных ассигнований на компенсацию расходов по оплате стоимости проезда и провоза багажа к месту использования отпуска и обратно (средства местного бюджета);                                                                                                                                           (+) 15 766,5 тыс. рублей - увеличен объем бюджетных ассигнований на достижение целевого показателя по оплате труда категорий работников, подпадающих под действие Указов Президента Российской Федерации от 2012 года, на обеспечение заработной платы и начислений на оплату труда по иным категориям работников, не подпадающих под действие Указов и доведения размера отплаты труда до МРОТ  (средства местного бюджета);                                                                                                                                                               (+)  9245,7 тыс. рублей - увеличен объем бюджетных ассигнований для оплаты налога на имущество муниципальных учреждений за 3 квартал 2025 года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(+) 2 500,0 тыс. рублей - увеличен объем бюджетных ассигнований  на приобретение жалюзи, потолочных креплений, стендов и табличек в учебные кабинеты МАОУ «СОШ №4» (средства местного бюджета);                                                                                                                                                                                                                          (-) 1 047,4 тыс. рублей - уменьшен объем бюджетных ассигнований для реализации мероприятий по обеспечению комплексной безопасносности образовательных учреждений (средства местного бюджета);                                                                                                                                                                              (+) 2 871,2 тыс. рублей - увеличен объем бюджетных ассигнований  на обеспечение деятельности образовательных организаций (средства местного бюджета) </t>
  </si>
  <si>
    <t xml:space="preserve">Приложение 2 </t>
  </si>
  <si>
    <t>к пояснительной записке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</si>
</sst>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0.0.00.00000"/>
    <numFmt numFmtId="166" formatCode="0000000000"/>
    <numFmt numFmtId="167" formatCode="#,##0.00;[Red]\-#,##0.00;0.00"/>
    <numFmt numFmtId="168" formatCode="000"/>
  </numFmts>
  <fonts count="11" x14ac:knownFonts="1">
    <font>
      <sz val="10"/>
      <color theme="1"/>
      <name val="Arial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2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1" applyFont="1" applyAlignment="1">
      <alignment horizontal="left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  <xf numFmtId="0" fontId="3" fillId="0" borderId="8" xfId="0" applyFont="1" applyBorder="1" applyProtection="1">
      <protection hidden="1"/>
    </xf>
    <xf numFmtId="0" fontId="3" fillId="0" borderId="11" xfId="0" applyFont="1" applyBorder="1" applyProtection="1">
      <protection hidden="1"/>
    </xf>
    <xf numFmtId="166" fontId="7" fillId="0" borderId="17" xfId="0" applyNumberFormat="1" applyFont="1" applyBorder="1" applyAlignment="1" applyProtection="1">
      <alignment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164" fontId="5" fillId="0" borderId="19" xfId="0" applyNumberFormat="1" applyFont="1" applyBorder="1" applyAlignment="1" applyProtection="1">
      <alignment vertical="center"/>
      <protection hidden="1"/>
    </xf>
    <xf numFmtId="167" fontId="7" fillId="0" borderId="20" xfId="0" applyNumberFormat="1" applyFont="1" applyBorder="1" applyAlignment="1" applyProtection="1">
      <alignment vertical="center"/>
      <protection hidden="1"/>
    </xf>
    <xf numFmtId="165" fontId="7" fillId="0" borderId="21" xfId="0" applyNumberFormat="1" applyFont="1" applyBorder="1" applyAlignment="1" applyProtection="1">
      <alignment vertical="center" wrapText="1"/>
      <protection hidden="1"/>
    </xf>
    <xf numFmtId="166" fontId="7" fillId="0" borderId="22" xfId="0" applyNumberFormat="1" applyFont="1" applyBorder="1" applyAlignment="1" applyProtection="1">
      <alignment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164" fontId="7" fillId="0" borderId="23" xfId="0" applyNumberFormat="1" applyFont="1" applyBorder="1" applyAlignment="1" applyProtection="1">
      <alignment vertical="center"/>
      <protection hidden="1"/>
    </xf>
    <xf numFmtId="167" fontId="7" fillId="0" borderId="24" xfId="0" applyNumberFormat="1" applyFont="1" applyBorder="1" applyAlignment="1" applyProtection="1">
      <alignment vertical="center"/>
      <protection hidden="1"/>
    </xf>
    <xf numFmtId="165" fontId="7" fillId="0" borderId="25" xfId="0" applyNumberFormat="1" applyFont="1" applyBorder="1" applyAlignment="1" applyProtection="1">
      <alignment vertical="center" wrapText="1"/>
      <protection hidden="1"/>
    </xf>
    <xf numFmtId="165" fontId="7" fillId="0" borderId="23" xfId="0" applyNumberFormat="1" applyFont="1" applyBorder="1" applyAlignment="1" applyProtection="1">
      <alignment vertical="center" wrapText="1"/>
      <protection hidden="1"/>
    </xf>
    <xf numFmtId="164" fontId="5" fillId="0" borderId="23" xfId="0" applyNumberFormat="1" applyFont="1" applyBorder="1" applyAlignment="1" applyProtection="1">
      <alignment vertical="center"/>
      <protection hidden="1"/>
    </xf>
    <xf numFmtId="167" fontId="5" fillId="0" borderId="24" xfId="0" applyNumberFormat="1" applyFont="1" applyBorder="1" applyAlignment="1" applyProtection="1">
      <alignment vertical="center"/>
      <protection hidden="1"/>
    </xf>
    <xf numFmtId="167" fontId="7" fillId="0" borderId="24" xfId="0" applyNumberFormat="1" applyFont="1" applyBorder="1" applyAlignment="1" applyProtection="1">
      <alignment vertical="center" wrapText="1"/>
      <protection hidden="1"/>
    </xf>
    <xf numFmtId="166" fontId="5" fillId="0" borderId="22" xfId="0" applyNumberFormat="1" applyFont="1" applyBorder="1" applyAlignment="1" applyProtection="1">
      <alignment wrapText="1"/>
      <protection hidden="1"/>
    </xf>
    <xf numFmtId="167" fontId="7" fillId="0" borderId="24" xfId="0" applyNumberFormat="1" applyFont="1" applyBorder="1" applyAlignment="1" applyProtection="1">
      <alignment horizontal="justify" vertical="top" wrapText="1"/>
      <protection hidden="1"/>
    </xf>
    <xf numFmtId="165" fontId="7" fillId="0" borderId="22" xfId="0" applyNumberFormat="1" applyFont="1" applyBorder="1" applyAlignment="1" applyProtection="1">
      <alignment vertical="center" wrapText="1"/>
      <protection hidden="1"/>
    </xf>
    <xf numFmtId="167" fontId="7" fillId="0" borderId="24" xfId="0" applyNumberFormat="1" applyFont="1" applyBorder="1" applyAlignment="1" applyProtection="1">
      <alignment vertical="top" wrapText="1"/>
      <protection hidden="1"/>
    </xf>
    <xf numFmtId="165" fontId="7" fillId="0" borderId="26" xfId="0" applyNumberFormat="1" applyFont="1" applyBorder="1" applyAlignment="1" applyProtection="1">
      <alignment vertical="center" wrapText="1"/>
      <protection hidden="1"/>
    </xf>
    <xf numFmtId="0" fontId="8" fillId="0" borderId="0" xfId="0" applyFont="1" applyAlignment="1">
      <alignment horizontal="justify" vertical="center"/>
    </xf>
    <xf numFmtId="166" fontId="7" fillId="0" borderId="28" xfId="0" applyNumberFormat="1" applyFont="1" applyBorder="1" applyAlignment="1" applyProtection="1">
      <alignment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164" fontId="7" fillId="0" borderId="29" xfId="0" applyNumberFormat="1" applyFont="1" applyBorder="1" applyAlignment="1" applyProtection="1">
      <alignment vertical="center"/>
      <protection hidden="1"/>
    </xf>
    <xf numFmtId="164" fontId="5" fillId="0" borderId="32" xfId="0" applyNumberFormat="1" applyFont="1" applyBorder="1" applyAlignment="1" applyProtection="1">
      <alignment vertical="center"/>
      <protection hidden="1"/>
    </xf>
    <xf numFmtId="40" fontId="5" fillId="0" borderId="33" xfId="0" applyNumberFormat="1" applyFont="1" applyBorder="1" applyAlignment="1" applyProtection="1">
      <alignment vertical="center"/>
      <protection hidden="1"/>
    </xf>
    <xf numFmtId="0" fontId="3" fillId="0" borderId="34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5" fillId="0" borderId="35" xfId="0" applyFont="1" applyBorder="1" applyProtection="1">
      <protection hidden="1"/>
    </xf>
    <xf numFmtId="0" fontId="5" fillId="0" borderId="14" xfId="0" applyFont="1" applyBorder="1" applyProtection="1">
      <protection hidden="1"/>
    </xf>
    <xf numFmtId="164" fontId="5" fillId="0" borderId="35" xfId="0" applyNumberFormat="1" applyFont="1" applyBorder="1" applyProtection="1">
      <protection hidden="1"/>
    </xf>
    <xf numFmtId="0" fontId="5" fillId="0" borderId="36" xfId="0" applyFont="1" applyBorder="1" applyProtection="1">
      <protection hidden="1"/>
    </xf>
    <xf numFmtId="0" fontId="3" fillId="0" borderId="6" xfId="0" applyFont="1" applyBorder="1" applyProtection="1">
      <protection hidden="1"/>
    </xf>
    <xf numFmtId="164" fontId="3" fillId="0" borderId="6" xfId="0" applyNumberFormat="1" applyFont="1" applyBorder="1" applyProtection="1">
      <protection hidden="1"/>
    </xf>
    <xf numFmtId="0" fontId="3" fillId="0" borderId="0" xfId="0" applyFont="1" applyBorder="1" applyProtection="1">
      <protection hidden="1"/>
    </xf>
    <xf numFmtId="165" fontId="7" fillId="0" borderId="18" xfId="0" applyNumberFormat="1" applyFont="1" applyBorder="1" applyAlignment="1" applyProtection="1">
      <alignment vertical="center" wrapText="1"/>
      <protection hidden="1"/>
    </xf>
    <xf numFmtId="0" fontId="3" fillId="0" borderId="13" xfId="0" applyFont="1" applyBorder="1" applyProtection="1">
      <protection hidden="1"/>
    </xf>
    <xf numFmtId="165" fontId="7" fillId="0" borderId="18" xfId="0" applyNumberFormat="1" applyFont="1" applyBorder="1" applyAlignment="1" applyProtection="1">
      <alignment vertical="center" wrapText="1"/>
      <protection hidden="1"/>
    </xf>
    <xf numFmtId="164" fontId="7" fillId="0" borderId="23" xfId="0" applyNumberFormat="1" applyFont="1" applyFill="1" applyBorder="1" applyAlignment="1" applyProtection="1">
      <alignment vertical="center"/>
      <protection hidden="1"/>
    </xf>
    <xf numFmtId="167" fontId="7" fillId="0" borderId="24" xfId="0" applyNumberFormat="1" applyFont="1" applyFill="1" applyBorder="1" applyAlignment="1" applyProtection="1">
      <alignment vertical="center"/>
      <protection hidden="1"/>
    </xf>
    <xf numFmtId="167" fontId="7" fillId="0" borderId="24" xfId="0" applyNumberFormat="1" applyFont="1" applyFill="1" applyBorder="1" applyAlignment="1" applyProtection="1">
      <alignment vertical="top" wrapText="1"/>
      <protection hidden="1"/>
    </xf>
    <xf numFmtId="167" fontId="7" fillId="0" borderId="24" xfId="0" applyNumberFormat="1" applyFont="1" applyBorder="1" applyAlignment="1" applyProtection="1">
      <alignment horizontal="justify" vertical="top"/>
      <protection hidden="1"/>
    </xf>
    <xf numFmtId="0" fontId="10" fillId="0" borderId="24" xfId="0" applyFont="1" applyBorder="1" applyAlignment="1">
      <alignment vertical="top" wrapText="1"/>
    </xf>
    <xf numFmtId="167" fontId="7" fillId="0" borderId="24" xfId="0" applyNumberFormat="1" applyFont="1" applyFill="1" applyBorder="1" applyAlignment="1" applyProtection="1">
      <alignment vertical="center" wrapText="1"/>
      <protection hidden="1"/>
    </xf>
    <xf numFmtId="165" fontId="7" fillId="0" borderId="18" xfId="0" applyNumberFormat="1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9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164" fontId="6" fillId="0" borderId="4" xfId="1" applyNumberFormat="1" applyFont="1" applyBorder="1" applyAlignment="1" applyProtection="1">
      <alignment horizontal="center" vertical="center" wrapText="1"/>
      <protection hidden="1"/>
    </xf>
    <xf numFmtId="164" fontId="6" fillId="0" borderId="10" xfId="1" applyNumberFormat="1" applyFont="1" applyBorder="1" applyAlignment="1" applyProtection="1">
      <alignment horizontal="center" vertical="center" wrapText="1"/>
      <protection hidden="1"/>
    </xf>
    <xf numFmtId="164" fontId="6" fillId="0" borderId="12" xfId="1" applyNumberFormat="1" applyFont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Border="1" applyAlignment="1" applyProtection="1">
      <alignment horizontal="center" vertical="center" wrapText="1"/>
      <protection hidden="1"/>
    </xf>
    <xf numFmtId="164" fontId="6" fillId="0" borderId="11" xfId="1" applyNumberFormat="1" applyFont="1" applyBorder="1" applyAlignment="1" applyProtection="1">
      <alignment horizontal="center" vertical="center" wrapText="1"/>
      <protection hidden="1"/>
    </xf>
    <xf numFmtId="164" fontId="6" fillId="0" borderId="15" xfId="1" applyNumberFormat="1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165" fontId="5" fillId="0" borderId="16" xfId="0" applyNumberFormat="1" applyFont="1" applyBorder="1" applyAlignment="1" applyProtection="1">
      <alignment vertical="center" wrapText="1"/>
      <protection hidden="1"/>
    </xf>
    <xf numFmtId="165" fontId="7" fillId="0" borderId="18" xfId="0" applyNumberFormat="1" applyFont="1" applyBorder="1" applyAlignment="1" applyProtection="1">
      <alignment vertical="center" wrapText="1"/>
      <protection hidden="1"/>
    </xf>
    <xf numFmtId="165" fontId="5" fillId="0" borderId="25" xfId="0" applyNumberFormat="1" applyFont="1" applyBorder="1" applyAlignment="1" applyProtection="1">
      <alignment vertical="center" wrapText="1"/>
      <protection hidden="1"/>
    </xf>
    <xf numFmtId="168" fontId="7" fillId="0" borderId="18" xfId="0" applyNumberFormat="1" applyFont="1" applyBorder="1" applyAlignment="1" applyProtection="1">
      <alignment vertical="center" wrapText="1"/>
      <protection hidden="1"/>
    </xf>
    <xf numFmtId="165" fontId="7" fillId="0" borderId="18" xfId="0" applyNumberFormat="1" applyFont="1" applyBorder="1" applyAlignment="1" applyProtection="1">
      <alignment horizontal="left" vertical="center" wrapText="1"/>
      <protection hidden="1"/>
    </xf>
    <xf numFmtId="165" fontId="7" fillId="0" borderId="29" xfId="0" applyNumberFormat="1" applyFont="1" applyBorder="1" applyAlignment="1" applyProtection="1">
      <alignment horizontal="center" vertical="center" wrapText="1"/>
      <protection hidden="1"/>
    </xf>
    <xf numFmtId="165" fontId="7" fillId="0" borderId="28" xfId="0" applyNumberFormat="1" applyFont="1" applyBorder="1" applyAlignment="1" applyProtection="1">
      <alignment horizontal="center" vertical="center" wrapText="1"/>
      <protection hidden="1"/>
    </xf>
    <xf numFmtId="165" fontId="7" fillId="0" borderId="37" xfId="0" applyNumberFormat="1" applyFont="1" applyBorder="1" applyAlignment="1" applyProtection="1">
      <alignment horizontal="center" vertical="center" wrapText="1"/>
      <protection hidden="1"/>
    </xf>
    <xf numFmtId="165" fontId="7" fillId="0" borderId="38" xfId="0" applyNumberFormat="1" applyFont="1" applyBorder="1" applyAlignment="1" applyProtection="1">
      <alignment horizontal="center" vertical="center" wrapText="1"/>
      <protection hidden="1"/>
    </xf>
    <xf numFmtId="165" fontId="7" fillId="0" borderId="39" xfId="0" applyNumberFormat="1" applyFont="1" applyBorder="1" applyAlignment="1" applyProtection="1">
      <alignment horizontal="center" vertical="center" wrapText="1"/>
      <protection hidden="1"/>
    </xf>
    <xf numFmtId="165" fontId="7" fillId="0" borderId="40" xfId="0" applyNumberFormat="1" applyFont="1" applyBorder="1" applyAlignment="1" applyProtection="1">
      <alignment horizontal="center" vertical="center" wrapText="1"/>
      <protection hidden="1"/>
    </xf>
    <xf numFmtId="165" fontId="7" fillId="0" borderId="27" xfId="0" applyNumberFormat="1" applyFont="1" applyBorder="1" applyAlignment="1" applyProtection="1">
      <alignment vertical="center" wrapText="1"/>
      <protection hidden="1"/>
    </xf>
    <xf numFmtId="0" fontId="9" fillId="0" borderId="1" xfId="1" applyFont="1" applyBorder="1" applyAlignment="1" applyProtection="1">
      <alignment horizontal="left"/>
      <protection hidden="1"/>
    </xf>
    <xf numFmtId="0" fontId="9" fillId="0" borderId="30" xfId="1" applyFont="1" applyBorder="1" applyAlignment="1" applyProtection="1">
      <alignment horizontal="left"/>
      <protection hidden="1"/>
    </xf>
    <xf numFmtId="0" fontId="9" fillId="0" borderId="31" xfId="1" applyFont="1" applyBorder="1" applyAlignment="1" applyProtection="1">
      <alignment horizontal="left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7" fillId="0" borderId="41" xfId="0" applyFont="1" applyBorder="1" applyAlignment="1" applyProtection="1">
      <alignment horizontal="center" vertical="center" wrapText="1"/>
      <protection hidden="1"/>
    </xf>
    <xf numFmtId="164" fontId="7" fillId="0" borderId="27" xfId="0" applyNumberFormat="1" applyFont="1" applyBorder="1" applyAlignment="1" applyProtection="1">
      <alignment horizontal="center" vertical="center"/>
      <protection hidden="1"/>
    </xf>
    <xf numFmtId="164" fontId="7" fillId="0" borderId="41" xfId="0" applyNumberFormat="1" applyFont="1" applyBorder="1" applyAlignment="1" applyProtection="1">
      <alignment horizontal="center" vertical="center"/>
      <protection hidden="1"/>
    </xf>
    <xf numFmtId="167" fontId="7" fillId="0" borderId="42" xfId="0" applyNumberFormat="1" applyFont="1" applyBorder="1" applyAlignment="1" applyProtection="1">
      <alignment horizontal="left" vertical="center" wrapText="1"/>
      <protection hidden="1"/>
    </xf>
    <xf numFmtId="167" fontId="7" fillId="0" borderId="43" xfId="0" applyNumberFormat="1" applyFont="1" applyBorder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right"/>
    </xf>
  </cellXfs>
  <cellStyles count="3"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2"/>
  <sheetViews>
    <sheetView showGridLines="0" tabSelected="1" zoomScale="110" workbookViewId="0">
      <selection activeCell="T8" sqref="T8"/>
    </sheetView>
  </sheetViews>
  <sheetFormatPr defaultColWidth="9.140625" defaultRowHeight="12.75" outlineLevelCol="1" x14ac:dyDescent="0.2"/>
  <cols>
    <col min="1" max="1" width="0.7109375" style="1" customWidth="1"/>
    <col min="2" max="6" width="2.7109375" style="1" hidden="1" customWidth="1"/>
    <col min="7" max="7" width="74.42578125" style="1" customWidth="1"/>
    <col min="8" max="8" width="0" style="1" hidden="1" customWidth="1"/>
    <col min="9" max="9" width="7.5703125" style="1" customWidth="1"/>
    <col min="10" max="10" width="5.28515625" style="1" customWidth="1"/>
    <col min="11" max="11" width="7.42578125" style="1" customWidth="1"/>
    <col min="12" max="12" width="5.85546875" style="1" hidden="1" customWidth="1"/>
    <col min="13" max="13" width="12.42578125" style="2" hidden="1" customWidth="1" outlineLevel="1"/>
    <col min="14" max="14" width="14.5703125" style="2" hidden="1" customWidth="1" outlineLevel="1"/>
    <col min="15" max="15" width="13.42578125" style="2" hidden="1" customWidth="1" outlineLevel="1"/>
    <col min="16" max="16" width="13.42578125" style="2" customWidth="1" collapsed="1"/>
    <col min="17" max="18" width="13.42578125" style="2" customWidth="1"/>
    <col min="19" max="19" width="60.85546875" style="1" customWidth="1"/>
    <col min="20" max="20" width="12.140625" style="1" customWidth="1"/>
    <col min="21" max="251" width="9.140625" style="1" customWidth="1"/>
    <col min="252" max="16384" width="9.140625" style="1"/>
  </cols>
  <sheetData>
    <row r="1" spans="1:20" x14ac:dyDescent="0.2">
      <c r="K1" s="3"/>
      <c r="S1" s="101" t="s">
        <v>423</v>
      </c>
    </row>
    <row r="2" spans="1:20" x14ac:dyDescent="0.2">
      <c r="K2" s="3"/>
      <c r="S2" s="101" t="s">
        <v>424</v>
      </c>
    </row>
    <row r="3" spans="1:20" ht="16.5" customHeight="1" x14ac:dyDescent="0.25">
      <c r="A3" s="4"/>
      <c r="B3" s="4"/>
      <c r="C3" s="4"/>
      <c r="D3" s="4"/>
      <c r="E3" s="4"/>
      <c r="F3" s="4"/>
      <c r="G3" s="53" t="s">
        <v>0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4"/>
    </row>
    <row r="4" spans="1:20" ht="9.75" customHeight="1" thickBot="1" x14ac:dyDescent="0.25">
      <c r="A4" s="4"/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6"/>
      <c r="N4" s="6"/>
      <c r="O4" s="6"/>
      <c r="P4" s="6"/>
      <c r="Q4" s="6"/>
      <c r="R4" s="6"/>
      <c r="S4" s="4"/>
      <c r="T4" s="4"/>
    </row>
    <row r="5" spans="1:20" ht="37.5" customHeight="1" thickBot="1" x14ac:dyDescent="0.25">
      <c r="A5" s="4"/>
      <c r="B5" s="54" t="s">
        <v>1</v>
      </c>
      <c r="C5" s="55" t="s">
        <v>1</v>
      </c>
      <c r="D5" s="56" t="s">
        <v>1</v>
      </c>
      <c r="E5" s="57" t="s">
        <v>1</v>
      </c>
      <c r="F5" s="57" t="s">
        <v>2</v>
      </c>
      <c r="G5" s="58" t="s">
        <v>3</v>
      </c>
      <c r="H5" s="61" t="s">
        <v>4</v>
      </c>
      <c r="I5" s="62" t="s">
        <v>5</v>
      </c>
      <c r="J5" s="63"/>
      <c r="K5" s="63"/>
      <c r="L5" s="64"/>
      <c r="M5" s="71" t="s">
        <v>6</v>
      </c>
      <c r="N5" s="71" t="s">
        <v>7</v>
      </c>
      <c r="O5" s="74" t="s">
        <v>8</v>
      </c>
      <c r="P5" s="71" t="s">
        <v>9</v>
      </c>
      <c r="Q5" s="71" t="s">
        <v>7</v>
      </c>
      <c r="R5" s="74" t="s">
        <v>8</v>
      </c>
      <c r="S5" s="77" t="s">
        <v>10</v>
      </c>
      <c r="T5" s="42"/>
    </row>
    <row r="6" spans="1:20" ht="25.5" customHeight="1" thickBot="1" x14ac:dyDescent="0.25">
      <c r="A6" s="4"/>
      <c r="B6" s="54"/>
      <c r="C6" s="55"/>
      <c r="D6" s="56"/>
      <c r="E6" s="57"/>
      <c r="F6" s="57"/>
      <c r="G6" s="59"/>
      <c r="H6" s="61"/>
      <c r="I6" s="65"/>
      <c r="J6" s="66"/>
      <c r="K6" s="66"/>
      <c r="L6" s="67"/>
      <c r="M6" s="72"/>
      <c r="N6" s="72"/>
      <c r="O6" s="75"/>
      <c r="P6" s="72"/>
      <c r="Q6" s="72"/>
      <c r="R6" s="75"/>
      <c r="S6" s="78"/>
      <c r="T6" s="42"/>
    </row>
    <row r="7" spans="1:20" ht="30" customHeight="1" thickBot="1" x14ac:dyDescent="0.25">
      <c r="A7" s="4"/>
      <c r="B7" s="54"/>
      <c r="C7" s="55"/>
      <c r="D7" s="56"/>
      <c r="E7" s="57"/>
      <c r="F7" s="57"/>
      <c r="G7" s="60"/>
      <c r="H7" s="61"/>
      <c r="I7" s="68"/>
      <c r="J7" s="69"/>
      <c r="K7" s="69"/>
      <c r="L7" s="70"/>
      <c r="M7" s="73"/>
      <c r="N7" s="73"/>
      <c r="O7" s="76"/>
      <c r="P7" s="73"/>
      <c r="Q7" s="73"/>
      <c r="R7" s="76"/>
      <c r="S7" s="79"/>
      <c r="T7" s="42"/>
    </row>
    <row r="8" spans="1:20" ht="23.25" customHeight="1" x14ac:dyDescent="0.2">
      <c r="A8" s="8"/>
      <c r="B8" s="80" t="s">
        <v>11</v>
      </c>
      <c r="C8" s="80"/>
      <c r="D8" s="80"/>
      <c r="E8" s="80"/>
      <c r="F8" s="80"/>
      <c r="G8" s="80"/>
      <c r="H8" s="9" t="s">
        <v>12</v>
      </c>
      <c r="I8" s="10" t="s">
        <v>13</v>
      </c>
      <c r="J8" s="10" t="s">
        <v>14</v>
      </c>
      <c r="K8" s="10" t="s">
        <v>14</v>
      </c>
      <c r="L8" s="10" t="s">
        <v>14</v>
      </c>
      <c r="M8" s="11">
        <f>M9</f>
        <v>56527.799999999996</v>
      </c>
      <c r="N8" s="11">
        <f>N9</f>
        <v>0</v>
      </c>
      <c r="O8" s="11">
        <f>O9</f>
        <v>56527.799999999996</v>
      </c>
      <c r="P8" s="11">
        <v>56527.799999999996</v>
      </c>
      <c r="Q8" s="11">
        <f>Q9</f>
        <v>10008.5</v>
      </c>
      <c r="R8" s="11">
        <f>R9</f>
        <v>66536.3</v>
      </c>
      <c r="S8" s="12"/>
      <c r="T8" s="42"/>
    </row>
    <row r="9" spans="1:20" ht="12.75" customHeight="1" x14ac:dyDescent="0.2">
      <c r="A9" s="8"/>
      <c r="B9" s="13"/>
      <c r="C9" s="81" t="s">
        <v>15</v>
      </c>
      <c r="D9" s="81"/>
      <c r="E9" s="81"/>
      <c r="F9" s="81"/>
      <c r="G9" s="81"/>
      <c r="H9" s="14" t="s">
        <v>12</v>
      </c>
      <c r="I9" s="15" t="s">
        <v>13</v>
      </c>
      <c r="J9" s="15" t="s">
        <v>16</v>
      </c>
      <c r="K9" s="15" t="s">
        <v>14</v>
      </c>
      <c r="L9" s="15" t="s">
        <v>14</v>
      </c>
      <c r="M9" s="16">
        <f>M10+M11+M12+M13</f>
        <v>56527.799999999996</v>
      </c>
      <c r="N9" s="16">
        <f>N10+N11+N12+N13</f>
        <v>0</v>
      </c>
      <c r="O9" s="16">
        <f>O10+O11+O12+O13</f>
        <v>56527.799999999996</v>
      </c>
      <c r="P9" s="16">
        <v>56527.799999999996</v>
      </c>
      <c r="Q9" s="16">
        <f>Q10+Q11+Q12+Q13</f>
        <v>10008.5</v>
      </c>
      <c r="R9" s="16">
        <f>R10+R11+R12+R13</f>
        <v>66536.3</v>
      </c>
      <c r="S9" s="22"/>
      <c r="T9" s="42"/>
    </row>
    <row r="10" spans="1:20" ht="27" customHeight="1" x14ac:dyDescent="0.2">
      <c r="A10" s="8"/>
      <c r="B10" s="18"/>
      <c r="C10" s="19"/>
      <c r="D10" s="81" t="s">
        <v>17</v>
      </c>
      <c r="E10" s="81"/>
      <c r="F10" s="81"/>
      <c r="G10" s="81"/>
      <c r="H10" s="14" t="s">
        <v>18</v>
      </c>
      <c r="I10" s="15" t="s">
        <v>13</v>
      </c>
      <c r="J10" s="15" t="s">
        <v>16</v>
      </c>
      <c r="K10" s="15" t="s">
        <v>19</v>
      </c>
      <c r="L10" s="15" t="s">
        <v>14</v>
      </c>
      <c r="M10" s="16">
        <v>2097.1</v>
      </c>
      <c r="N10" s="16"/>
      <c r="O10" s="16">
        <f t="shared" ref="O10:O13" si="0">M10+N10</f>
        <v>2097.1</v>
      </c>
      <c r="P10" s="16">
        <v>2097.1</v>
      </c>
      <c r="Q10" s="16"/>
      <c r="R10" s="16">
        <f t="shared" ref="R10:R13" si="1">P10+Q10</f>
        <v>2097.1</v>
      </c>
      <c r="S10" s="22"/>
      <c r="T10" s="42"/>
    </row>
    <row r="11" spans="1:20" ht="30" customHeight="1" x14ac:dyDescent="0.2">
      <c r="A11" s="8"/>
      <c r="B11" s="18"/>
      <c r="C11" s="19"/>
      <c r="D11" s="81" t="s">
        <v>20</v>
      </c>
      <c r="E11" s="81"/>
      <c r="F11" s="81"/>
      <c r="G11" s="81"/>
      <c r="H11" s="14" t="s">
        <v>21</v>
      </c>
      <c r="I11" s="15" t="s">
        <v>13</v>
      </c>
      <c r="J11" s="15" t="s">
        <v>16</v>
      </c>
      <c r="K11" s="15" t="s">
        <v>22</v>
      </c>
      <c r="L11" s="15" t="s">
        <v>14</v>
      </c>
      <c r="M11" s="16">
        <v>1228</v>
      </c>
      <c r="N11" s="16"/>
      <c r="O11" s="16">
        <f t="shared" si="0"/>
        <v>1228</v>
      </c>
      <c r="P11" s="16">
        <v>1228</v>
      </c>
      <c r="Q11" s="16"/>
      <c r="R11" s="16">
        <f t="shared" si="1"/>
        <v>1228</v>
      </c>
      <c r="S11" s="22"/>
      <c r="T11" s="42"/>
    </row>
    <row r="12" spans="1:20" ht="91.5" customHeight="1" x14ac:dyDescent="0.2">
      <c r="A12" s="8"/>
      <c r="B12" s="18"/>
      <c r="C12" s="19"/>
      <c r="D12" s="81" t="s">
        <v>23</v>
      </c>
      <c r="E12" s="81"/>
      <c r="F12" s="81"/>
      <c r="G12" s="81"/>
      <c r="H12" s="14" t="s">
        <v>24</v>
      </c>
      <c r="I12" s="15" t="s">
        <v>13</v>
      </c>
      <c r="J12" s="15" t="s">
        <v>16</v>
      </c>
      <c r="K12" s="15" t="s">
        <v>25</v>
      </c>
      <c r="L12" s="15" t="s">
        <v>14</v>
      </c>
      <c r="M12" s="16">
        <v>52567.7</v>
      </c>
      <c r="N12" s="16"/>
      <c r="O12" s="16">
        <f t="shared" si="0"/>
        <v>52567.7</v>
      </c>
      <c r="P12" s="16">
        <v>52567.7</v>
      </c>
      <c r="Q12" s="16">
        <f>9662.3+346.2</f>
        <v>10008.5</v>
      </c>
      <c r="R12" s="16">
        <f t="shared" si="1"/>
        <v>62576.2</v>
      </c>
      <c r="S12" s="51" t="s">
        <v>378</v>
      </c>
      <c r="T12" s="42"/>
    </row>
    <row r="13" spans="1:20" ht="26.25" customHeight="1" x14ac:dyDescent="0.2">
      <c r="A13" s="8"/>
      <c r="B13" s="18"/>
      <c r="C13" s="19"/>
      <c r="D13" s="81" t="s">
        <v>26</v>
      </c>
      <c r="E13" s="81"/>
      <c r="F13" s="81"/>
      <c r="G13" s="81"/>
      <c r="H13" s="14" t="s">
        <v>27</v>
      </c>
      <c r="I13" s="15" t="s">
        <v>13</v>
      </c>
      <c r="J13" s="15" t="s">
        <v>16</v>
      </c>
      <c r="K13" s="15" t="s">
        <v>28</v>
      </c>
      <c r="L13" s="15" t="s">
        <v>14</v>
      </c>
      <c r="M13" s="16">
        <v>635</v>
      </c>
      <c r="N13" s="16"/>
      <c r="O13" s="16">
        <f t="shared" si="0"/>
        <v>635</v>
      </c>
      <c r="P13" s="16">
        <v>635</v>
      </c>
      <c r="Q13" s="16"/>
      <c r="R13" s="16">
        <f t="shared" si="1"/>
        <v>635</v>
      </c>
      <c r="S13" s="22"/>
      <c r="T13" s="42"/>
    </row>
    <row r="14" spans="1:20" ht="18.75" customHeight="1" x14ac:dyDescent="0.2">
      <c r="A14" s="8"/>
      <c r="B14" s="82" t="s">
        <v>29</v>
      </c>
      <c r="C14" s="82"/>
      <c r="D14" s="82"/>
      <c r="E14" s="82"/>
      <c r="F14" s="82"/>
      <c r="G14" s="82"/>
      <c r="H14" s="14" t="s">
        <v>30</v>
      </c>
      <c r="I14" s="10" t="s">
        <v>31</v>
      </c>
      <c r="J14" s="10" t="s">
        <v>14</v>
      </c>
      <c r="K14" s="10" t="s">
        <v>14</v>
      </c>
      <c r="L14" s="10" t="s">
        <v>14</v>
      </c>
      <c r="M14" s="20">
        <f>M15</f>
        <v>2693.2</v>
      </c>
      <c r="N14" s="20">
        <f>N15</f>
        <v>0</v>
      </c>
      <c r="O14" s="20">
        <f>O15</f>
        <v>2693.2</v>
      </c>
      <c r="P14" s="20">
        <v>2693.2</v>
      </c>
      <c r="Q14" s="20">
        <f>Q15</f>
        <v>0</v>
      </c>
      <c r="R14" s="20">
        <f>R15</f>
        <v>2693.2</v>
      </c>
      <c r="S14" s="22"/>
      <c r="T14" s="42"/>
    </row>
    <row r="15" spans="1:20" ht="18" customHeight="1" x14ac:dyDescent="0.2">
      <c r="A15" s="8"/>
      <c r="B15" s="13"/>
      <c r="C15" s="81" t="s">
        <v>15</v>
      </c>
      <c r="D15" s="81"/>
      <c r="E15" s="81"/>
      <c r="F15" s="81"/>
      <c r="G15" s="81"/>
      <c r="H15" s="14" t="s">
        <v>30</v>
      </c>
      <c r="I15" s="15" t="s">
        <v>31</v>
      </c>
      <c r="J15" s="15" t="s">
        <v>16</v>
      </c>
      <c r="K15" s="15" t="s">
        <v>14</v>
      </c>
      <c r="L15" s="15" t="s">
        <v>14</v>
      </c>
      <c r="M15" s="16">
        <f>M16+M17+M18+M19</f>
        <v>2693.2</v>
      </c>
      <c r="N15" s="16">
        <f>N16+N17+N18+N19</f>
        <v>0</v>
      </c>
      <c r="O15" s="16">
        <f>O16+O17+O18+O19</f>
        <v>2693.2</v>
      </c>
      <c r="P15" s="16">
        <v>2693.2</v>
      </c>
      <c r="Q15" s="16">
        <f>Q16+Q17+Q18+Q19</f>
        <v>0</v>
      </c>
      <c r="R15" s="16">
        <f>R16+R17+R18+R19</f>
        <v>2693.2</v>
      </c>
      <c r="S15" s="22"/>
      <c r="T15" s="42"/>
    </row>
    <row r="16" spans="1:20" ht="26.25" customHeight="1" x14ac:dyDescent="0.2">
      <c r="A16" s="8"/>
      <c r="B16" s="18"/>
      <c r="C16" s="19"/>
      <c r="D16" s="81" t="s">
        <v>32</v>
      </c>
      <c r="E16" s="81"/>
      <c r="F16" s="81"/>
      <c r="G16" s="81"/>
      <c r="H16" s="14" t="s">
        <v>33</v>
      </c>
      <c r="I16" s="15" t="s">
        <v>31</v>
      </c>
      <c r="J16" s="15" t="s">
        <v>16</v>
      </c>
      <c r="K16" s="15" t="s">
        <v>19</v>
      </c>
      <c r="L16" s="15" t="s">
        <v>14</v>
      </c>
      <c r="M16" s="16">
        <v>2236.6999999999998</v>
      </c>
      <c r="N16" s="16"/>
      <c r="O16" s="16">
        <f t="shared" ref="O16:O19" si="2">M16+N16</f>
        <v>2236.6999999999998</v>
      </c>
      <c r="P16" s="16">
        <v>2236.6999999999998</v>
      </c>
      <c r="Q16" s="16"/>
      <c r="R16" s="16">
        <f t="shared" ref="R16:R19" si="3">P16+Q16</f>
        <v>2236.6999999999998</v>
      </c>
      <c r="S16" s="22"/>
      <c r="T16" s="42"/>
    </row>
    <row r="17" spans="1:20" ht="39.75" customHeight="1" x14ac:dyDescent="0.2">
      <c r="A17" s="8"/>
      <c r="B17" s="18"/>
      <c r="C17" s="19"/>
      <c r="D17" s="81" t="s">
        <v>34</v>
      </c>
      <c r="E17" s="81"/>
      <c r="F17" s="81"/>
      <c r="G17" s="81"/>
      <c r="H17" s="14" t="s">
        <v>35</v>
      </c>
      <c r="I17" s="15" t="s">
        <v>31</v>
      </c>
      <c r="J17" s="15" t="s">
        <v>16</v>
      </c>
      <c r="K17" s="15" t="s">
        <v>22</v>
      </c>
      <c r="L17" s="15" t="s">
        <v>14</v>
      </c>
      <c r="M17" s="16">
        <v>0.5</v>
      </c>
      <c r="N17" s="16"/>
      <c r="O17" s="16">
        <f t="shared" si="2"/>
        <v>0.5</v>
      </c>
      <c r="P17" s="16">
        <v>0.5</v>
      </c>
      <c r="Q17" s="16"/>
      <c r="R17" s="16">
        <f t="shared" si="3"/>
        <v>0.5</v>
      </c>
      <c r="S17" s="22"/>
      <c r="T17" s="42"/>
    </row>
    <row r="18" spans="1:20" ht="12.75" customHeight="1" x14ac:dyDescent="0.2">
      <c r="A18" s="8"/>
      <c r="B18" s="18"/>
      <c r="C18" s="19"/>
      <c r="D18" s="81" t="s">
        <v>36</v>
      </c>
      <c r="E18" s="81"/>
      <c r="F18" s="81"/>
      <c r="G18" s="81"/>
      <c r="H18" s="14" t="s">
        <v>37</v>
      </c>
      <c r="I18" s="15" t="s">
        <v>31</v>
      </c>
      <c r="J18" s="15" t="s">
        <v>16</v>
      </c>
      <c r="K18" s="15" t="s">
        <v>25</v>
      </c>
      <c r="L18" s="15" t="s">
        <v>14</v>
      </c>
      <c r="M18" s="16">
        <v>452</v>
      </c>
      <c r="N18" s="16"/>
      <c r="O18" s="16">
        <f t="shared" si="2"/>
        <v>452</v>
      </c>
      <c r="P18" s="16">
        <v>452</v>
      </c>
      <c r="Q18" s="16"/>
      <c r="R18" s="16">
        <f t="shared" si="3"/>
        <v>452</v>
      </c>
      <c r="S18" s="22"/>
      <c r="T18" s="42"/>
    </row>
    <row r="19" spans="1:20" ht="12.75" customHeight="1" x14ac:dyDescent="0.2">
      <c r="A19" s="8"/>
      <c r="B19" s="18"/>
      <c r="C19" s="19"/>
      <c r="D19" s="81" t="s">
        <v>38</v>
      </c>
      <c r="E19" s="81"/>
      <c r="F19" s="81"/>
      <c r="G19" s="81"/>
      <c r="H19" s="14" t="s">
        <v>39</v>
      </c>
      <c r="I19" s="15" t="s">
        <v>31</v>
      </c>
      <c r="J19" s="15" t="s">
        <v>16</v>
      </c>
      <c r="K19" s="15" t="s">
        <v>28</v>
      </c>
      <c r="L19" s="15" t="s">
        <v>14</v>
      </c>
      <c r="M19" s="16">
        <v>4</v>
      </c>
      <c r="N19" s="16"/>
      <c r="O19" s="16">
        <f t="shared" si="2"/>
        <v>4</v>
      </c>
      <c r="P19" s="16">
        <v>4</v>
      </c>
      <c r="Q19" s="16"/>
      <c r="R19" s="16">
        <f t="shared" si="3"/>
        <v>4</v>
      </c>
      <c r="S19" s="22"/>
      <c r="T19" s="42"/>
    </row>
    <row r="20" spans="1:20" ht="30" customHeight="1" x14ac:dyDescent="0.2">
      <c r="A20" s="8"/>
      <c r="B20" s="82" t="s">
        <v>40</v>
      </c>
      <c r="C20" s="82"/>
      <c r="D20" s="82"/>
      <c r="E20" s="82"/>
      <c r="F20" s="82"/>
      <c r="G20" s="82"/>
      <c r="H20" s="14" t="s">
        <v>41</v>
      </c>
      <c r="I20" s="10" t="s">
        <v>42</v>
      </c>
      <c r="J20" s="10" t="s">
        <v>14</v>
      </c>
      <c r="K20" s="10" t="s">
        <v>14</v>
      </c>
      <c r="L20" s="10" t="s">
        <v>14</v>
      </c>
      <c r="M20" s="20">
        <f>M21+M23</f>
        <v>16547.7</v>
      </c>
      <c r="N20" s="20">
        <f>N21+N23</f>
        <v>0</v>
      </c>
      <c r="O20" s="20">
        <f>O21+O23</f>
        <v>16547.7</v>
      </c>
      <c r="P20" s="20">
        <v>16547.7</v>
      </c>
      <c r="Q20" s="20">
        <f>Q21+Q23</f>
        <v>0</v>
      </c>
      <c r="R20" s="20">
        <f>R21+R23</f>
        <v>16547.7</v>
      </c>
      <c r="S20" s="22"/>
      <c r="T20" s="42"/>
    </row>
    <row r="21" spans="1:20" ht="29.25" customHeight="1" x14ac:dyDescent="0.2">
      <c r="A21" s="8"/>
      <c r="B21" s="13"/>
      <c r="C21" s="81" t="s">
        <v>43</v>
      </c>
      <c r="D21" s="81"/>
      <c r="E21" s="81"/>
      <c r="F21" s="81"/>
      <c r="G21" s="81"/>
      <c r="H21" s="14" t="s">
        <v>44</v>
      </c>
      <c r="I21" s="15" t="s">
        <v>42</v>
      </c>
      <c r="J21" s="15" t="s">
        <v>45</v>
      </c>
      <c r="K21" s="15" t="s">
        <v>14</v>
      </c>
      <c r="L21" s="15" t="s">
        <v>14</v>
      </c>
      <c r="M21" s="16">
        <f>M22</f>
        <v>4536.7</v>
      </c>
      <c r="N21" s="16">
        <f>N22</f>
        <v>0</v>
      </c>
      <c r="O21" s="16">
        <f>O22</f>
        <v>4536.7</v>
      </c>
      <c r="P21" s="16">
        <v>4536.7</v>
      </c>
      <c r="Q21" s="16">
        <f>Q22</f>
        <v>0</v>
      </c>
      <c r="R21" s="16">
        <f>R22</f>
        <v>4536.7</v>
      </c>
      <c r="S21" s="22"/>
      <c r="T21" s="42"/>
    </row>
    <row r="22" spans="1:20" ht="31.5" customHeight="1" x14ac:dyDescent="0.2">
      <c r="A22" s="8"/>
      <c r="B22" s="18"/>
      <c r="C22" s="19"/>
      <c r="D22" s="81" t="s">
        <v>46</v>
      </c>
      <c r="E22" s="81"/>
      <c r="F22" s="81"/>
      <c r="G22" s="81"/>
      <c r="H22" s="14" t="s">
        <v>44</v>
      </c>
      <c r="I22" s="15" t="s">
        <v>42</v>
      </c>
      <c r="J22" s="15" t="s">
        <v>45</v>
      </c>
      <c r="K22" s="15" t="s">
        <v>47</v>
      </c>
      <c r="L22" s="15" t="s">
        <v>14</v>
      </c>
      <c r="M22" s="16">
        <v>4536.7</v>
      </c>
      <c r="N22" s="16"/>
      <c r="O22" s="16">
        <f>M22+N22</f>
        <v>4536.7</v>
      </c>
      <c r="P22" s="16">
        <v>4536.7</v>
      </c>
      <c r="Q22" s="16"/>
      <c r="R22" s="16">
        <f>P22+Q22</f>
        <v>4536.7</v>
      </c>
      <c r="S22" s="22"/>
      <c r="T22" s="42"/>
    </row>
    <row r="23" spans="1:20" ht="12.75" customHeight="1" x14ac:dyDescent="0.2">
      <c r="A23" s="8"/>
      <c r="B23" s="13"/>
      <c r="C23" s="81" t="s">
        <v>15</v>
      </c>
      <c r="D23" s="81"/>
      <c r="E23" s="81"/>
      <c r="F23" s="81"/>
      <c r="G23" s="81"/>
      <c r="H23" s="14" t="s">
        <v>48</v>
      </c>
      <c r="I23" s="15" t="s">
        <v>42</v>
      </c>
      <c r="J23" s="15" t="s">
        <v>16</v>
      </c>
      <c r="K23" s="15" t="s">
        <v>14</v>
      </c>
      <c r="L23" s="15" t="s">
        <v>14</v>
      </c>
      <c r="M23" s="16">
        <f>M24</f>
        <v>12011</v>
      </c>
      <c r="N23" s="16">
        <f>N24</f>
        <v>0</v>
      </c>
      <c r="O23" s="16">
        <f>O24</f>
        <v>12011</v>
      </c>
      <c r="P23" s="16">
        <v>12011</v>
      </c>
      <c r="Q23" s="16">
        <f>Q24</f>
        <v>0</v>
      </c>
      <c r="R23" s="16">
        <f>R24</f>
        <v>12011</v>
      </c>
      <c r="S23" s="22"/>
      <c r="T23" s="42"/>
    </row>
    <row r="24" spans="1:20" ht="12.75" customHeight="1" x14ac:dyDescent="0.2">
      <c r="A24" s="8"/>
      <c r="B24" s="18"/>
      <c r="C24" s="19"/>
      <c r="D24" s="81" t="s">
        <v>49</v>
      </c>
      <c r="E24" s="81"/>
      <c r="F24" s="81"/>
      <c r="G24" s="81"/>
      <c r="H24" s="14" t="s">
        <v>48</v>
      </c>
      <c r="I24" s="15" t="s">
        <v>42</v>
      </c>
      <c r="J24" s="15" t="s">
        <v>16</v>
      </c>
      <c r="K24" s="15" t="s">
        <v>19</v>
      </c>
      <c r="L24" s="15" t="s">
        <v>14</v>
      </c>
      <c r="M24" s="16">
        <v>12011</v>
      </c>
      <c r="N24" s="16"/>
      <c r="O24" s="16">
        <f>M24+N24</f>
        <v>12011</v>
      </c>
      <c r="P24" s="16">
        <v>12011</v>
      </c>
      <c r="Q24" s="16"/>
      <c r="R24" s="16">
        <f>P24+Q24</f>
        <v>12011</v>
      </c>
      <c r="S24" s="22"/>
      <c r="T24" s="42"/>
    </row>
    <row r="25" spans="1:20" ht="25.5" customHeight="1" x14ac:dyDescent="0.2">
      <c r="A25" s="8"/>
      <c r="B25" s="82" t="s">
        <v>50</v>
      </c>
      <c r="C25" s="82"/>
      <c r="D25" s="82"/>
      <c r="E25" s="82"/>
      <c r="F25" s="82"/>
      <c r="G25" s="82"/>
      <c r="H25" s="14" t="s">
        <v>51</v>
      </c>
      <c r="I25" s="10" t="s">
        <v>52</v>
      </c>
      <c r="J25" s="10" t="s">
        <v>14</v>
      </c>
      <c r="K25" s="10" t="s">
        <v>14</v>
      </c>
      <c r="L25" s="10" t="s">
        <v>14</v>
      </c>
      <c r="M25" s="20">
        <f>M26</f>
        <v>9690.6</v>
      </c>
      <c r="N25" s="20">
        <f>N26</f>
        <v>0</v>
      </c>
      <c r="O25" s="20">
        <f>O26</f>
        <v>9690.6</v>
      </c>
      <c r="P25" s="20">
        <v>9690.6</v>
      </c>
      <c r="Q25" s="20">
        <f>Q26</f>
        <v>-1773.5</v>
      </c>
      <c r="R25" s="20">
        <f>R26</f>
        <v>7917.1</v>
      </c>
      <c r="S25" s="22"/>
      <c r="T25" s="42"/>
    </row>
    <row r="26" spans="1:20" ht="12.75" customHeight="1" x14ac:dyDescent="0.2">
      <c r="A26" s="8"/>
      <c r="B26" s="13"/>
      <c r="C26" s="81" t="s">
        <v>15</v>
      </c>
      <c r="D26" s="81"/>
      <c r="E26" s="81"/>
      <c r="F26" s="81"/>
      <c r="G26" s="81"/>
      <c r="H26" s="14" t="s">
        <v>51</v>
      </c>
      <c r="I26" s="15" t="s">
        <v>52</v>
      </c>
      <c r="J26" s="15" t="s">
        <v>16</v>
      </c>
      <c r="K26" s="15" t="s">
        <v>14</v>
      </c>
      <c r="L26" s="15" t="s">
        <v>14</v>
      </c>
      <c r="M26" s="16">
        <f>M27+M28+M29+M30+M31+M32</f>
        <v>9690.6</v>
      </c>
      <c r="N26" s="16">
        <f>N27+N28+N29+N30+N31+N32</f>
        <v>0</v>
      </c>
      <c r="O26" s="16">
        <f>O27+O28+O29+O30+O31+O32</f>
        <v>9690.6</v>
      </c>
      <c r="P26" s="16">
        <v>9690.6</v>
      </c>
      <c r="Q26" s="16">
        <f>Q27+Q28+Q29+Q30+Q31+Q32</f>
        <v>-1773.5</v>
      </c>
      <c r="R26" s="16">
        <f>R27+R28+R29+R30+R31+R32</f>
        <v>7917.1</v>
      </c>
      <c r="S26" s="22"/>
      <c r="T26" s="42"/>
    </row>
    <row r="27" spans="1:20" ht="94.5" customHeight="1" x14ac:dyDescent="0.2">
      <c r="A27" s="8"/>
      <c r="B27" s="18"/>
      <c r="C27" s="19"/>
      <c r="D27" s="81" t="s">
        <v>53</v>
      </c>
      <c r="E27" s="81"/>
      <c r="F27" s="81"/>
      <c r="G27" s="81"/>
      <c r="H27" s="14" t="s">
        <v>54</v>
      </c>
      <c r="I27" s="15" t="s">
        <v>52</v>
      </c>
      <c r="J27" s="15" t="s">
        <v>16</v>
      </c>
      <c r="K27" s="15" t="s">
        <v>19</v>
      </c>
      <c r="L27" s="15" t="s">
        <v>14</v>
      </c>
      <c r="M27" s="16">
        <v>4813.5</v>
      </c>
      <c r="N27" s="16">
        <v>-183.9</v>
      </c>
      <c r="O27" s="16">
        <f t="shared" ref="O27:O32" si="4">M27+N27</f>
        <v>4629.6000000000004</v>
      </c>
      <c r="P27" s="16">
        <v>4629.6000000000004</v>
      </c>
      <c r="Q27" s="16">
        <f>-6.1-2373.5</f>
        <v>-2379.6</v>
      </c>
      <c r="R27" s="16">
        <f t="shared" ref="R27:R32" si="5">P27+Q27</f>
        <v>2250.0000000000005</v>
      </c>
      <c r="S27" s="22" t="s">
        <v>358</v>
      </c>
      <c r="T27" s="42"/>
    </row>
    <row r="28" spans="1:20" ht="27" customHeight="1" x14ac:dyDescent="0.2">
      <c r="A28" s="8"/>
      <c r="B28" s="18"/>
      <c r="C28" s="19"/>
      <c r="D28" s="81" t="s">
        <v>55</v>
      </c>
      <c r="E28" s="81"/>
      <c r="F28" s="81"/>
      <c r="G28" s="81"/>
      <c r="H28" s="14" t="s">
        <v>56</v>
      </c>
      <c r="I28" s="15" t="s">
        <v>52</v>
      </c>
      <c r="J28" s="15" t="s">
        <v>16</v>
      </c>
      <c r="K28" s="15" t="s">
        <v>22</v>
      </c>
      <c r="L28" s="15" t="s">
        <v>14</v>
      </c>
      <c r="M28" s="16">
        <v>2670</v>
      </c>
      <c r="N28" s="16"/>
      <c r="O28" s="16">
        <f t="shared" si="4"/>
        <v>2670</v>
      </c>
      <c r="P28" s="16">
        <v>2670</v>
      </c>
      <c r="Q28" s="16"/>
      <c r="R28" s="16">
        <f t="shared" si="5"/>
        <v>2670</v>
      </c>
      <c r="S28" s="22"/>
      <c r="T28" s="42"/>
    </row>
    <row r="29" spans="1:20" ht="30.75" customHeight="1" x14ac:dyDescent="0.2">
      <c r="A29" s="8"/>
      <c r="B29" s="18"/>
      <c r="C29" s="19"/>
      <c r="D29" s="81" t="s">
        <v>57</v>
      </c>
      <c r="E29" s="81"/>
      <c r="F29" s="81"/>
      <c r="G29" s="81"/>
      <c r="H29" s="14" t="s">
        <v>58</v>
      </c>
      <c r="I29" s="15" t="s">
        <v>52</v>
      </c>
      <c r="J29" s="15" t="s">
        <v>16</v>
      </c>
      <c r="K29" s="15" t="s">
        <v>25</v>
      </c>
      <c r="L29" s="15" t="s">
        <v>14</v>
      </c>
      <c r="M29" s="16">
        <v>27.8</v>
      </c>
      <c r="N29" s="16"/>
      <c r="O29" s="16">
        <f t="shared" si="4"/>
        <v>27.8</v>
      </c>
      <c r="P29" s="16">
        <v>27.8</v>
      </c>
      <c r="Q29" s="16"/>
      <c r="R29" s="16">
        <f t="shared" si="5"/>
        <v>27.8</v>
      </c>
      <c r="S29" s="22"/>
      <c r="T29" s="42"/>
    </row>
    <row r="30" spans="1:20" ht="123" customHeight="1" x14ac:dyDescent="0.2">
      <c r="A30" s="8"/>
      <c r="B30" s="18"/>
      <c r="C30" s="19"/>
      <c r="D30" s="81" t="s">
        <v>59</v>
      </c>
      <c r="E30" s="81"/>
      <c r="F30" s="81"/>
      <c r="G30" s="81"/>
      <c r="H30" s="14" t="s">
        <v>60</v>
      </c>
      <c r="I30" s="15" t="s">
        <v>52</v>
      </c>
      <c r="J30" s="15" t="s">
        <v>16</v>
      </c>
      <c r="K30" s="15" t="s">
        <v>28</v>
      </c>
      <c r="L30" s="15" t="s">
        <v>14</v>
      </c>
      <c r="M30" s="16">
        <v>200</v>
      </c>
      <c r="N30" s="16"/>
      <c r="O30" s="16">
        <f t="shared" si="4"/>
        <v>200</v>
      </c>
      <c r="P30" s="16">
        <v>200</v>
      </c>
      <c r="Q30" s="16">
        <f>600+6.1</f>
        <v>606.1</v>
      </c>
      <c r="R30" s="16">
        <f t="shared" si="5"/>
        <v>806.1</v>
      </c>
      <c r="S30" s="22" t="s">
        <v>350</v>
      </c>
      <c r="T30" s="42"/>
    </row>
    <row r="31" spans="1:20" ht="30" customHeight="1" x14ac:dyDescent="0.2">
      <c r="A31" s="8"/>
      <c r="B31" s="18"/>
      <c r="C31" s="19"/>
      <c r="D31" s="81" t="s">
        <v>61</v>
      </c>
      <c r="E31" s="81"/>
      <c r="F31" s="81"/>
      <c r="G31" s="81"/>
      <c r="H31" s="14" t="s">
        <v>62</v>
      </c>
      <c r="I31" s="15" t="s">
        <v>52</v>
      </c>
      <c r="J31" s="15" t="s">
        <v>16</v>
      </c>
      <c r="K31" s="15" t="s">
        <v>63</v>
      </c>
      <c r="L31" s="15" t="s">
        <v>14</v>
      </c>
      <c r="M31" s="16">
        <v>28.8</v>
      </c>
      <c r="N31" s="16"/>
      <c r="O31" s="16">
        <f t="shared" si="4"/>
        <v>28.8</v>
      </c>
      <c r="P31" s="16">
        <v>28.8</v>
      </c>
      <c r="Q31" s="16"/>
      <c r="R31" s="16">
        <f t="shared" si="5"/>
        <v>28.8</v>
      </c>
      <c r="S31" s="22"/>
      <c r="T31" s="42"/>
    </row>
    <row r="32" spans="1:20" ht="72.75" customHeight="1" x14ac:dyDescent="0.2">
      <c r="A32" s="8"/>
      <c r="B32" s="18"/>
      <c r="C32" s="19"/>
      <c r="D32" s="81" t="s">
        <v>64</v>
      </c>
      <c r="E32" s="81"/>
      <c r="F32" s="81"/>
      <c r="G32" s="81"/>
      <c r="H32" s="14" t="s">
        <v>65</v>
      </c>
      <c r="I32" s="15" t="s">
        <v>52</v>
      </c>
      <c r="J32" s="15" t="s">
        <v>16</v>
      </c>
      <c r="K32" s="15" t="s">
        <v>66</v>
      </c>
      <c r="L32" s="15" t="s">
        <v>14</v>
      </c>
      <c r="M32" s="16">
        <v>1950.5</v>
      </c>
      <c r="N32" s="16">
        <v>183.9</v>
      </c>
      <c r="O32" s="16">
        <f t="shared" si="4"/>
        <v>2134.4</v>
      </c>
      <c r="P32" s="16">
        <v>2134.4</v>
      </c>
      <c r="Q32" s="16"/>
      <c r="R32" s="16">
        <f t="shared" si="5"/>
        <v>2134.4</v>
      </c>
      <c r="S32" s="22"/>
      <c r="T32" s="42"/>
    </row>
    <row r="33" spans="1:20" ht="21" customHeight="1" x14ac:dyDescent="0.2">
      <c r="A33" s="8"/>
      <c r="B33" s="82" t="s">
        <v>67</v>
      </c>
      <c r="C33" s="82"/>
      <c r="D33" s="82"/>
      <c r="E33" s="82"/>
      <c r="F33" s="82"/>
      <c r="G33" s="82"/>
      <c r="H33" s="14" t="s">
        <v>68</v>
      </c>
      <c r="I33" s="10" t="s">
        <v>69</v>
      </c>
      <c r="J33" s="10" t="s">
        <v>14</v>
      </c>
      <c r="K33" s="10" t="s">
        <v>14</v>
      </c>
      <c r="L33" s="10" t="s">
        <v>14</v>
      </c>
      <c r="M33" s="20">
        <f>M34</f>
        <v>42221.4</v>
      </c>
      <c r="N33" s="20">
        <f>N34</f>
        <v>0</v>
      </c>
      <c r="O33" s="20">
        <f>O34</f>
        <v>42221.4</v>
      </c>
      <c r="P33" s="20">
        <v>42221.4</v>
      </c>
      <c r="Q33" s="20">
        <f>Q34</f>
        <v>2488.1</v>
      </c>
      <c r="R33" s="20">
        <f>R34</f>
        <v>44709.5</v>
      </c>
      <c r="S33" s="22"/>
      <c r="T33" s="42"/>
    </row>
    <row r="34" spans="1:20" ht="12.75" customHeight="1" x14ac:dyDescent="0.2">
      <c r="A34" s="8"/>
      <c r="B34" s="13"/>
      <c r="C34" s="81" t="s">
        <v>15</v>
      </c>
      <c r="D34" s="81"/>
      <c r="E34" s="81"/>
      <c r="F34" s="81"/>
      <c r="G34" s="81"/>
      <c r="H34" s="14" t="s">
        <v>68</v>
      </c>
      <c r="I34" s="15" t="s">
        <v>69</v>
      </c>
      <c r="J34" s="15" t="s">
        <v>16</v>
      </c>
      <c r="K34" s="15" t="s">
        <v>14</v>
      </c>
      <c r="L34" s="15" t="s">
        <v>14</v>
      </c>
      <c r="M34" s="16">
        <f>M35+M36</f>
        <v>42221.4</v>
      </c>
      <c r="N34" s="16">
        <f>N35+N36</f>
        <v>0</v>
      </c>
      <c r="O34" s="16">
        <f>O35+O36</f>
        <v>42221.4</v>
      </c>
      <c r="P34" s="16">
        <v>42221.4</v>
      </c>
      <c r="Q34" s="16">
        <f>Q35+Q36</f>
        <v>2488.1</v>
      </c>
      <c r="R34" s="16">
        <f>R35+R36</f>
        <v>44709.5</v>
      </c>
      <c r="S34" s="22"/>
      <c r="T34" s="42"/>
    </row>
    <row r="35" spans="1:20" ht="39" customHeight="1" x14ac:dyDescent="0.2">
      <c r="A35" s="8"/>
      <c r="B35" s="18"/>
      <c r="C35" s="19"/>
      <c r="D35" s="81" t="s">
        <v>70</v>
      </c>
      <c r="E35" s="81"/>
      <c r="F35" s="81"/>
      <c r="G35" s="81"/>
      <c r="H35" s="14" t="s">
        <v>71</v>
      </c>
      <c r="I35" s="15" t="s">
        <v>69</v>
      </c>
      <c r="J35" s="15" t="s">
        <v>16</v>
      </c>
      <c r="K35" s="15" t="s">
        <v>13</v>
      </c>
      <c r="L35" s="15" t="s">
        <v>14</v>
      </c>
      <c r="M35" s="16">
        <v>41721.4</v>
      </c>
      <c r="N35" s="16"/>
      <c r="O35" s="16">
        <f t="shared" ref="O35:O36" si="6">M35+N35</f>
        <v>41721.4</v>
      </c>
      <c r="P35" s="16">
        <v>41721.4</v>
      </c>
      <c r="Q35" s="16">
        <f>2488.1</f>
        <v>2488.1</v>
      </c>
      <c r="R35" s="16">
        <f t="shared" ref="R35:R36" si="7">P35+Q35</f>
        <v>44209.5</v>
      </c>
      <c r="S35" s="22" t="s">
        <v>355</v>
      </c>
      <c r="T35" s="42"/>
    </row>
    <row r="36" spans="1:20" ht="12.75" customHeight="1" x14ac:dyDescent="0.2">
      <c r="A36" s="8"/>
      <c r="B36" s="18"/>
      <c r="C36" s="19"/>
      <c r="D36" s="81" t="s">
        <v>72</v>
      </c>
      <c r="E36" s="81"/>
      <c r="F36" s="81"/>
      <c r="G36" s="81"/>
      <c r="H36" s="14" t="s">
        <v>73</v>
      </c>
      <c r="I36" s="15" t="s">
        <v>69</v>
      </c>
      <c r="J36" s="15" t="s">
        <v>16</v>
      </c>
      <c r="K36" s="15" t="s">
        <v>19</v>
      </c>
      <c r="L36" s="15" t="s">
        <v>14</v>
      </c>
      <c r="M36" s="16">
        <v>500</v>
      </c>
      <c r="N36" s="16"/>
      <c r="O36" s="16">
        <f t="shared" si="6"/>
        <v>500</v>
      </c>
      <c r="P36" s="16">
        <v>500</v>
      </c>
      <c r="Q36" s="16"/>
      <c r="R36" s="16">
        <f t="shared" si="7"/>
        <v>500</v>
      </c>
      <c r="S36" s="22"/>
      <c r="T36" s="42"/>
    </row>
    <row r="37" spans="1:20" ht="22.5" customHeight="1" x14ac:dyDescent="0.2">
      <c r="A37" s="8"/>
      <c r="B37" s="82" t="s">
        <v>74</v>
      </c>
      <c r="C37" s="82"/>
      <c r="D37" s="82"/>
      <c r="E37" s="82"/>
      <c r="F37" s="82"/>
      <c r="G37" s="82"/>
      <c r="H37" s="14" t="s">
        <v>75</v>
      </c>
      <c r="I37" s="10" t="s">
        <v>76</v>
      </c>
      <c r="J37" s="10" t="s">
        <v>14</v>
      </c>
      <c r="K37" s="10" t="s">
        <v>14</v>
      </c>
      <c r="L37" s="10" t="s">
        <v>14</v>
      </c>
      <c r="M37" s="20">
        <f>M38+M42+M45</f>
        <v>595609.1</v>
      </c>
      <c r="N37" s="20">
        <f>N38+N42+N45</f>
        <v>23513.599999999999</v>
      </c>
      <c r="O37" s="20">
        <f>O38+O42+O45</f>
        <v>619122.69999999995</v>
      </c>
      <c r="P37" s="20">
        <v>619122.69999999995</v>
      </c>
      <c r="Q37" s="20">
        <f>Q38+Q42+Q45</f>
        <v>95203.8</v>
      </c>
      <c r="R37" s="20">
        <f>R38+R42+R45</f>
        <v>714326.5</v>
      </c>
      <c r="S37" s="22"/>
      <c r="T37" s="42"/>
    </row>
    <row r="38" spans="1:20" ht="21.75" customHeight="1" x14ac:dyDescent="0.2">
      <c r="A38" s="8"/>
      <c r="B38" s="13"/>
      <c r="C38" s="81" t="s">
        <v>77</v>
      </c>
      <c r="D38" s="81"/>
      <c r="E38" s="81"/>
      <c r="F38" s="81"/>
      <c r="G38" s="81"/>
      <c r="H38" s="14" t="s">
        <v>78</v>
      </c>
      <c r="I38" s="15" t="s">
        <v>76</v>
      </c>
      <c r="J38" s="15" t="s">
        <v>45</v>
      </c>
      <c r="K38" s="15" t="s">
        <v>14</v>
      </c>
      <c r="L38" s="15" t="s">
        <v>14</v>
      </c>
      <c r="M38" s="16">
        <f>M39</f>
        <v>21592.5</v>
      </c>
      <c r="N38" s="16">
        <f>N39</f>
        <v>0</v>
      </c>
      <c r="O38" s="16">
        <f>O39</f>
        <v>21592.5</v>
      </c>
      <c r="P38" s="16">
        <v>21592.5</v>
      </c>
      <c r="Q38" s="16">
        <f>Q39</f>
        <v>0</v>
      </c>
      <c r="R38" s="16">
        <f>R39</f>
        <v>21592.5</v>
      </c>
      <c r="S38" s="22"/>
      <c r="T38" s="42"/>
    </row>
    <row r="39" spans="1:20" ht="12.75" customHeight="1" x14ac:dyDescent="0.2">
      <c r="A39" s="8"/>
      <c r="B39" s="18"/>
      <c r="C39" s="19"/>
      <c r="D39" s="81" t="s">
        <v>79</v>
      </c>
      <c r="E39" s="81"/>
      <c r="F39" s="81"/>
      <c r="G39" s="81"/>
      <c r="H39" s="14" t="s">
        <v>78</v>
      </c>
      <c r="I39" s="15" t="s">
        <v>76</v>
      </c>
      <c r="J39" s="15" t="s">
        <v>45</v>
      </c>
      <c r="K39" s="15" t="s">
        <v>80</v>
      </c>
      <c r="L39" s="15" t="s">
        <v>14</v>
      </c>
      <c r="M39" s="16">
        <v>21592.5</v>
      </c>
      <c r="N39" s="16"/>
      <c r="O39" s="16">
        <f t="shared" ref="O39:O41" si="8">M39+N39</f>
        <v>21592.5</v>
      </c>
      <c r="P39" s="16">
        <v>21592.5</v>
      </c>
      <c r="Q39" s="16"/>
      <c r="R39" s="16">
        <f t="shared" ref="R39:R41" si="9">P39+Q39</f>
        <v>21592.5</v>
      </c>
      <c r="S39" s="22"/>
      <c r="T39" s="42"/>
    </row>
    <row r="40" spans="1:20" ht="12.75" hidden="1" customHeight="1" x14ac:dyDescent="0.2">
      <c r="A40" s="8"/>
      <c r="B40" s="18"/>
      <c r="C40" s="43"/>
      <c r="D40" s="19"/>
      <c r="E40" s="81" t="s">
        <v>81</v>
      </c>
      <c r="F40" s="81"/>
      <c r="G40" s="81"/>
      <c r="H40" s="14" t="s">
        <v>82</v>
      </c>
      <c r="I40" s="15" t="s">
        <v>76</v>
      </c>
      <c r="J40" s="15" t="s">
        <v>45</v>
      </c>
      <c r="K40" s="15" t="s">
        <v>80</v>
      </c>
      <c r="L40" s="15" t="s">
        <v>83</v>
      </c>
      <c r="M40" s="16">
        <v>0</v>
      </c>
      <c r="N40" s="16"/>
      <c r="O40" s="16">
        <f t="shared" si="8"/>
        <v>0</v>
      </c>
      <c r="P40" s="16">
        <v>0</v>
      </c>
      <c r="Q40" s="16"/>
      <c r="R40" s="16">
        <f t="shared" si="9"/>
        <v>0</v>
      </c>
      <c r="S40" s="22"/>
      <c r="T40" s="42"/>
    </row>
    <row r="41" spans="1:20" ht="21.75" hidden="1" customHeight="1" x14ac:dyDescent="0.2">
      <c r="A41" s="8"/>
      <c r="B41" s="18"/>
      <c r="C41" s="43"/>
      <c r="D41" s="43"/>
      <c r="E41" s="19"/>
      <c r="F41" s="83" t="s">
        <v>84</v>
      </c>
      <c r="G41" s="83"/>
      <c r="H41" s="14" t="s">
        <v>82</v>
      </c>
      <c r="I41" s="15" t="s">
        <v>76</v>
      </c>
      <c r="J41" s="15" t="s">
        <v>45</v>
      </c>
      <c r="K41" s="15" t="s">
        <v>80</v>
      </c>
      <c r="L41" s="15" t="s">
        <v>83</v>
      </c>
      <c r="M41" s="16">
        <v>0</v>
      </c>
      <c r="N41" s="16"/>
      <c r="O41" s="16">
        <f t="shared" si="8"/>
        <v>0</v>
      </c>
      <c r="P41" s="16">
        <v>0</v>
      </c>
      <c r="Q41" s="16"/>
      <c r="R41" s="16">
        <f t="shared" si="9"/>
        <v>0</v>
      </c>
      <c r="S41" s="22"/>
      <c r="T41" s="42"/>
    </row>
    <row r="42" spans="1:20" ht="21.75" customHeight="1" x14ac:dyDescent="0.2">
      <c r="A42" s="8"/>
      <c r="B42" s="13"/>
      <c r="C42" s="81" t="s">
        <v>85</v>
      </c>
      <c r="D42" s="81"/>
      <c r="E42" s="81"/>
      <c r="F42" s="81"/>
      <c r="G42" s="81"/>
      <c r="H42" s="14" t="s">
        <v>86</v>
      </c>
      <c r="I42" s="15" t="s">
        <v>76</v>
      </c>
      <c r="J42" s="15" t="s">
        <v>87</v>
      </c>
      <c r="K42" s="15" t="s">
        <v>14</v>
      </c>
      <c r="L42" s="15" t="s">
        <v>14</v>
      </c>
      <c r="M42" s="16">
        <f>M43+M44</f>
        <v>2148.6</v>
      </c>
      <c r="N42" s="16">
        <f>N43+N44</f>
        <v>0</v>
      </c>
      <c r="O42" s="16">
        <f>O43+O44</f>
        <v>2148.6</v>
      </c>
      <c r="P42" s="16">
        <v>2148.6</v>
      </c>
      <c r="Q42" s="16">
        <f>Q43+Q44</f>
        <v>0</v>
      </c>
      <c r="R42" s="16">
        <f>R43+R44</f>
        <v>2148.6</v>
      </c>
      <c r="S42" s="22"/>
      <c r="T42" s="42"/>
    </row>
    <row r="43" spans="1:20" ht="12.75" customHeight="1" x14ac:dyDescent="0.2">
      <c r="A43" s="8"/>
      <c r="B43" s="18"/>
      <c r="C43" s="19"/>
      <c r="D43" s="81" t="s">
        <v>88</v>
      </c>
      <c r="E43" s="81"/>
      <c r="F43" s="81"/>
      <c r="G43" s="81"/>
      <c r="H43" s="14" t="s">
        <v>89</v>
      </c>
      <c r="I43" s="15" t="s">
        <v>76</v>
      </c>
      <c r="J43" s="15" t="s">
        <v>87</v>
      </c>
      <c r="K43" s="15" t="s">
        <v>13</v>
      </c>
      <c r="L43" s="15" t="s">
        <v>14</v>
      </c>
      <c r="M43" s="16">
        <v>1294.0999999999999</v>
      </c>
      <c r="N43" s="16"/>
      <c r="O43" s="16">
        <f t="shared" ref="O43:O44" si="10">M43+N43</f>
        <v>1294.0999999999999</v>
      </c>
      <c r="P43" s="16">
        <v>1294.0999999999999</v>
      </c>
      <c r="Q43" s="16"/>
      <c r="R43" s="16">
        <f t="shared" ref="R43:R44" si="11">P43+Q43</f>
        <v>1294.0999999999999</v>
      </c>
      <c r="S43" s="22"/>
      <c r="T43" s="42"/>
    </row>
    <row r="44" spans="1:20" ht="12.75" customHeight="1" x14ac:dyDescent="0.2">
      <c r="A44" s="8"/>
      <c r="B44" s="18"/>
      <c r="C44" s="19"/>
      <c r="D44" s="81" t="s">
        <v>90</v>
      </c>
      <c r="E44" s="81"/>
      <c r="F44" s="81"/>
      <c r="G44" s="81"/>
      <c r="H44" s="14" t="s">
        <v>91</v>
      </c>
      <c r="I44" s="15" t="s">
        <v>76</v>
      </c>
      <c r="J44" s="15" t="s">
        <v>87</v>
      </c>
      <c r="K44" s="15" t="s">
        <v>31</v>
      </c>
      <c r="L44" s="15" t="s">
        <v>14</v>
      </c>
      <c r="M44" s="16">
        <v>854.5</v>
      </c>
      <c r="N44" s="16"/>
      <c r="O44" s="16">
        <f t="shared" si="10"/>
        <v>854.5</v>
      </c>
      <c r="P44" s="16">
        <v>854.5</v>
      </c>
      <c r="Q44" s="16"/>
      <c r="R44" s="16">
        <f t="shared" si="11"/>
        <v>854.5</v>
      </c>
      <c r="S44" s="22"/>
      <c r="T44" s="42"/>
    </row>
    <row r="45" spans="1:20" ht="12.75" customHeight="1" x14ac:dyDescent="0.2">
      <c r="A45" s="8"/>
      <c r="B45" s="13"/>
      <c r="C45" s="81" t="s">
        <v>15</v>
      </c>
      <c r="D45" s="81"/>
      <c r="E45" s="81"/>
      <c r="F45" s="81"/>
      <c r="G45" s="81"/>
      <c r="H45" s="14" t="s">
        <v>92</v>
      </c>
      <c r="I45" s="15" t="s">
        <v>76</v>
      </c>
      <c r="J45" s="15" t="s">
        <v>16</v>
      </c>
      <c r="K45" s="15" t="s">
        <v>14</v>
      </c>
      <c r="L45" s="15" t="s">
        <v>14</v>
      </c>
      <c r="M45" s="16">
        <f>M46+M47+M48+M49+M50+M51+M52+M53</f>
        <v>571868</v>
      </c>
      <c r="N45" s="16">
        <f>N46+N47+N48+N49+N50+N51+N52+N53</f>
        <v>23513.599999999999</v>
      </c>
      <c r="O45" s="16">
        <f>O46+O47+O48+O49+O50+O51+O52+O53</f>
        <v>595381.6</v>
      </c>
      <c r="P45" s="16">
        <v>595381.6</v>
      </c>
      <c r="Q45" s="16">
        <f>Q46+Q47+Q48+Q49+Q50+Q51+Q52+Q53+Q54</f>
        <v>95203.8</v>
      </c>
      <c r="R45" s="16">
        <f>R46+R47+R48+R49+R50+R51+R52+R53+R54</f>
        <v>690585.4</v>
      </c>
      <c r="S45" s="22"/>
      <c r="T45" s="42"/>
    </row>
    <row r="46" spans="1:20" ht="12.75" customHeight="1" x14ac:dyDescent="0.2">
      <c r="A46" s="8"/>
      <c r="B46" s="18"/>
      <c r="C46" s="19"/>
      <c r="D46" s="81" t="s">
        <v>93</v>
      </c>
      <c r="E46" s="81"/>
      <c r="F46" s="81"/>
      <c r="G46" s="81"/>
      <c r="H46" s="14" t="s">
        <v>94</v>
      </c>
      <c r="I46" s="15" t="s">
        <v>76</v>
      </c>
      <c r="J46" s="15" t="s">
        <v>16</v>
      </c>
      <c r="K46" s="15" t="s">
        <v>19</v>
      </c>
      <c r="L46" s="15" t="s">
        <v>14</v>
      </c>
      <c r="M46" s="16">
        <v>400</v>
      </c>
      <c r="N46" s="16"/>
      <c r="O46" s="16">
        <f t="shared" ref="O46:O53" si="12">M46+N46</f>
        <v>400</v>
      </c>
      <c r="P46" s="16">
        <v>400</v>
      </c>
      <c r="Q46" s="16"/>
      <c r="R46" s="16">
        <f t="shared" ref="R46:R53" si="13">P46+Q46</f>
        <v>400</v>
      </c>
      <c r="S46" s="22"/>
      <c r="T46" s="42"/>
    </row>
    <row r="47" spans="1:20" ht="170.25" customHeight="1" x14ac:dyDescent="0.2">
      <c r="A47" s="8"/>
      <c r="B47" s="18"/>
      <c r="C47" s="19"/>
      <c r="D47" s="81" t="s">
        <v>95</v>
      </c>
      <c r="E47" s="81"/>
      <c r="F47" s="81"/>
      <c r="G47" s="81"/>
      <c r="H47" s="14" t="s">
        <v>96</v>
      </c>
      <c r="I47" s="15" t="s">
        <v>76</v>
      </c>
      <c r="J47" s="15" t="s">
        <v>16</v>
      </c>
      <c r="K47" s="15" t="s">
        <v>22</v>
      </c>
      <c r="L47" s="15" t="s">
        <v>14</v>
      </c>
      <c r="M47" s="16">
        <v>500</v>
      </c>
      <c r="N47" s="16">
        <v>990</v>
      </c>
      <c r="O47" s="16">
        <f t="shared" si="12"/>
        <v>1490</v>
      </c>
      <c r="P47" s="16">
        <v>1490</v>
      </c>
      <c r="Q47" s="16">
        <f>157.5+300+107</f>
        <v>564.5</v>
      </c>
      <c r="R47" s="16">
        <f t="shared" si="13"/>
        <v>2054.5</v>
      </c>
      <c r="S47" s="22" t="s">
        <v>395</v>
      </c>
      <c r="T47" s="42"/>
    </row>
    <row r="48" spans="1:20" ht="72.75" customHeight="1" x14ac:dyDescent="0.2">
      <c r="A48" s="8"/>
      <c r="B48" s="18"/>
      <c r="C48" s="19"/>
      <c r="D48" s="81" t="s">
        <v>97</v>
      </c>
      <c r="E48" s="81"/>
      <c r="F48" s="81"/>
      <c r="G48" s="81"/>
      <c r="H48" s="14" t="s">
        <v>98</v>
      </c>
      <c r="I48" s="15" t="s">
        <v>76</v>
      </c>
      <c r="J48" s="15" t="s">
        <v>16</v>
      </c>
      <c r="K48" s="15" t="s">
        <v>25</v>
      </c>
      <c r="L48" s="15" t="s">
        <v>14</v>
      </c>
      <c r="M48" s="16">
        <v>1824.6</v>
      </c>
      <c r="N48" s="16">
        <f>550+227.9+1973.6</f>
        <v>2751.5</v>
      </c>
      <c r="O48" s="16">
        <f t="shared" si="12"/>
        <v>4576.1000000000004</v>
      </c>
      <c r="P48" s="16">
        <v>4576.1000000000004</v>
      </c>
      <c r="Q48" s="16">
        <f>32+11110</f>
        <v>11142</v>
      </c>
      <c r="R48" s="16">
        <f t="shared" si="13"/>
        <v>15718.1</v>
      </c>
      <c r="S48" s="22" t="s">
        <v>396</v>
      </c>
      <c r="T48" s="42"/>
    </row>
    <row r="49" spans="1:20" ht="76.5" customHeight="1" x14ac:dyDescent="0.2">
      <c r="A49" s="8"/>
      <c r="B49" s="18"/>
      <c r="C49" s="19"/>
      <c r="D49" s="81" t="s">
        <v>99</v>
      </c>
      <c r="E49" s="81"/>
      <c r="F49" s="81"/>
      <c r="G49" s="81"/>
      <c r="H49" s="14" t="s">
        <v>100</v>
      </c>
      <c r="I49" s="15" t="s">
        <v>76</v>
      </c>
      <c r="J49" s="15" t="s">
        <v>16</v>
      </c>
      <c r="K49" s="15" t="s">
        <v>28</v>
      </c>
      <c r="L49" s="15" t="s">
        <v>14</v>
      </c>
      <c r="M49" s="16">
        <v>860.6</v>
      </c>
      <c r="N49" s="16"/>
      <c r="O49" s="16">
        <f t="shared" si="12"/>
        <v>860.6</v>
      </c>
      <c r="P49" s="16">
        <v>860.6</v>
      </c>
      <c r="Q49" s="16">
        <v>-254.8</v>
      </c>
      <c r="R49" s="16">
        <f t="shared" si="13"/>
        <v>605.79999999999995</v>
      </c>
      <c r="S49" s="22" t="s">
        <v>397</v>
      </c>
      <c r="T49" s="42"/>
    </row>
    <row r="50" spans="1:20" ht="25.5" customHeight="1" x14ac:dyDescent="0.2">
      <c r="A50" s="8"/>
      <c r="B50" s="18"/>
      <c r="C50" s="19"/>
      <c r="D50" s="81" t="s">
        <v>101</v>
      </c>
      <c r="E50" s="81"/>
      <c r="F50" s="81"/>
      <c r="G50" s="81"/>
      <c r="H50" s="14" t="s">
        <v>102</v>
      </c>
      <c r="I50" s="15" t="s">
        <v>76</v>
      </c>
      <c r="J50" s="15" t="s">
        <v>16</v>
      </c>
      <c r="K50" s="15" t="s">
        <v>63</v>
      </c>
      <c r="L50" s="15" t="s">
        <v>14</v>
      </c>
      <c r="M50" s="16">
        <v>170</v>
      </c>
      <c r="N50" s="16"/>
      <c r="O50" s="16">
        <f t="shared" si="12"/>
        <v>170</v>
      </c>
      <c r="P50" s="16">
        <v>170</v>
      </c>
      <c r="Q50" s="16"/>
      <c r="R50" s="16">
        <f t="shared" si="13"/>
        <v>170</v>
      </c>
      <c r="S50" s="22"/>
      <c r="T50" s="42"/>
    </row>
    <row r="51" spans="1:20" ht="12.75" customHeight="1" x14ac:dyDescent="0.2">
      <c r="A51" s="8"/>
      <c r="B51" s="18"/>
      <c r="C51" s="19"/>
      <c r="D51" s="81" t="s">
        <v>103</v>
      </c>
      <c r="E51" s="81"/>
      <c r="F51" s="81"/>
      <c r="G51" s="81"/>
      <c r="H51" s="14" t="s">
        <v>104</v>
      </c>
      <c r="I51" s="15" t="s">
        <v>76</v>
      </c>
      <c r="J51" s="15" t="s">
        <v>16</v>
      </c>
      <c r="K51" s="15" t="s">
        <v>66</v>
      </c>
      <c r="L51" s="15" t="s">
        <v>14</v>
      </c>
      <c r="M51" s="16">
        <v>60</v>
      </c>
      <c r="N51" s="16"/>
      <c r="O51" s="16">
        <f t="shared" si="12"/>
        <v>60</v>
      </c>
      <c r="P51" s="16">
        <v>60</v>
      </c>
      <c r="Q51" s="16"/>
      <c r="R51" s="16">
        <f t="shared" si="13"/>
        <v>60</v>
      </c>
      <c r="S51" s="22"/>
      <c r="T51" s="42"/>
    </row>
    <row r="52" spans="1:20" ht="231.75" customHeight="1" x14ac:dyDescent="0.2">
      <c r="A52" s="8"/>
      <c r="B52" s="18"/>
      <c r="C52" s="19"/>
      <c r="D52" s="81" t="s">
        <v>105</v>
      </c>
      <c r="E52" s="81"/>
      <c r="F52" s="81"/>
      <c r="G52" s="81"/>
      <c r="H52" s="14" t="s">
        <v>106</v>
      </c>
      <c r="I52" s="15" t="s">
        <v>76</v>
      </c>
      <c r="J52" s="15" t="s">
        <v>16</v>
      </c>
      <c r="K52" s="15" t="s">
        <v>107</v>
      </c>
      <c r="L52" s="15" t="s">
        <v>14</v>
      </c>
      <c r="M52" s="16">
        <v>3000</v>
      </c>
      <c r="N52" s="16"/>
      <c r="O52" s="16">
        <f t="shared" si="12"/>
        <v>3000</v>
      </c>
      <c r="P52" s="16">
        <v>3000</v>
      </c>
      <c r="Q52" s="16">
        <f>400+2373.5+3254+1730-110+1248</f>
        <v>8895.5</v>
      </c>
      <c r="R52" s="16">
        <f t="shared" si="13"/>
        <v>11895.5</v>
      </c>
      <c r="S52" s="22" t="s">
        <v>398</v>
      </c>
      <c r="T52" s="42"/>
    </row>
    <row r="53" spans="1:20" ht="304.5" customHeight="1" x14ac:dyDescent="0.2">
      <c r="A53" s="8"/>
      <c r="B53" s="18"/>
      <c r="C53" s="19"/>
      <c r="D53" s="81" t="s">
        <v>108</v>
      </c>
      <c r="E53" s="81"/>
      <c r="F53" s="81"/>
      <c r="G53" s="81"/>
      <c r="H53" s="14" t="s">
        <v>109</v>
      </c>
      <c r="I53" s="15" t="s">
        <v>76</v>
      </c>
      <c r="J53" s="15" t="s">
        <v>16</v>
      </c>
      <c r="K53" s="15" t="s">
        <v>110</v>
      </c>
      <c r="L53" s="15" t="s">
        <v>14</v>
      </c>
      <c r="M53" s="16">
        <v>565052.80000000005</v>
      </c>
      <c r="N53" s="16">
        <f>-227.9+20000</f>
        <v>19772.099999999999</v>
      </c>
      <c r="O53" s="16">
        <f t="shared" si="12"/>
        <v>584824.9</v>
      </c>
      <c r="P53" s="16">
        <v>584824.9</v>
      </c>
      <c r="Q53" s="16">
        <f>224.8+30-3254+13.7+77182.6+1936.5-1387</f>
        <v>74746.600000000006</v>
      </c>
      <c r="R53" s="16">
        <f t="shared" si="13"/>
        <v>659571.5</v>
      </c>
      <c r="S53" s="22" t="s">
        <v>399</v>
      </c>
      <c r="T53" s="42"/>
    </row>
    <row r="54" spans="1:20" ht="49.5" customHeight="1" x14ac:dyDescent="0.2">
      <c r="A54" s="8"/>
      <c r="B54" s="18"/>
      <c r="C54" s="25"/>
      <c r="D54" s="27"/>
      <c r="E54" s="27"/>
      <c r="F54" s="27"/>
      <c r="G54" s="27" t="s">
        <v>352</v>
      </c>
      <c r="H54" s="14"/>
      <c r="I54" s="15" t="s">
        <v>76</v>
      </c>
      <c r="J54" s="15" t="s">
        <v>16</v>
      </c>
      <c r="K54" s="15">
        <v>19</v>
      </c>
      <c r="L54" s="15" t="s">
        <v>14</v>
      </c>
      <c r="M54" s="16">
        <v>565052.80000000005</v>
      </c>
      <c r="N54" s="16">
        <f>-227.9+20000</f>
        <v>19772.099999999999</v>
      </c>
      <c r="O54" s="16">
        <f t="shared" ref="O54" si="14">M54+N54</f>
        <v>584824.9</v>
      </c>
      <c r="P54" s="16">
        <v>0</v>
      </c>
      <c r="Q54" s="16">
        <v>110</v>
      </c>
      <c r="R54" s="16">
        <f t="shared" ref="R54" si="15">P54+Q54</f>
        <v>110</v>
      </c>
      <c r="S54" s="26" t="s">
        <v>363</v>
      </c>
      <c r="T54" s="42"/>
    </row>
    <row r="55" spans="1:20" ht="24" customHeight="1" x14ac:dyDescent="0.2">
      <c r="A55" s="8"/>
      <c r="B55" s="82" t="s">
        <v>111</v>
      </c>
      <c r="C55" s="82"/>
      <c r="D55" s="82"/>
      <c r="E55" s="82"/>
      <c r="F55" s="82"/>
      <c r="G55" s="82"/>
      <c r="H55" s="14" t="s">
        <v>112</v>
      </c>
      <c r="I55" s="10" t="s">
        <v>113</v>
      </c>
      <c r="J55" s="10" t="s">
        <v>14</v>
      </c>
      <c r="K55" s="10" t="s">
        <v>14</v>
      </c>
      <c r="L55" s="10" t="s">
        <v>14</v>
      </c>
      <c r="M55" s="20">
        <f t="shared" ref="M55:M59" si="16">M56</f>
        <v>350</v>
      </c>
      <c r="N55" s="20">
        <f t="shared" ref="N55:R59" si="17">N56</f>
        <v>0</v>
      </c>
      <c r="O55" s="20">
        <f t="shared" si="17"/>
        <v>350</v>
      </c>
      <c r="P55" s="20">
        <v>350</v>
      </c>
      <c r="Q55" s="20">
        <f t="shared" si="17"/>
        <v>0</v>
      </c>
      <c r="R55" s="20">
        <f t="shared" si="17"/>
        <v>350</v>
      </c>
      <c r="S55" s="22"/>
      <c r="T55" s="42"/>
    </row>
    <row r="56" spans="1:20" ht="12.75" customHeight="1" x14ac:dyDescent="0.2">
      <c r="A56" s="8"/>
      <c r="B56" s="13"/>
      <c r="C56" s="81" t="s">
        <v>15</v>
      </c>
      <c r="D56" s="81"/>
      <c r="E56" s="81"/>
      <c r="F56" s="81"/>
      <c r="G56" s="81"/>
      <c r="H56" s="14" t="s">
        <v>112</v>
      </c>
      <c r="I56" s="15" t="s">
        <v>113</v>
      </c>
      <c r="J56" s="15" t="s">
        <v>16</v>
      </c>
      <c r="K56" s="15" t="s">
        <v>14</v>
      </c>
      <c r="L56" s="15" t="s">
        <v>14</v>
      </c>
      <c r="M56" s="16">
        <f t="shared" si="16"/>
        <v>350</v>
      </c>
      <c r="N56" s="16">
        <f t="shared" si="17"/>
        <v>0</v>
      </c>
      <c r="O56" s="16">
        <f t="shared" si="17"/>
        <v>350</v>
      </c>
      <c r="P56" s="16">
        <v>350</v>
      </c>
      <c r="Q56" s="16">
        <f t="shared" si="17"/>
        <v>0</v>
      </c>
      <c r="R56" s="16">
        <f t="shared" si="17"/>
        <v>350</v>
      </c>
      <c r="S56" s="22"/>
      <c r="T56" s="42"/>
    </row>
    <row r="57" spans="1:20" ht="21.75" customHeight="1" x14ac:dyDescent="0.2">
      <c r="A57" s="8"/>
      <c r="B57" s="18"/>
      <c r="C57" s="19"/>
      <c r="D57" s="81" t="s">
        <v>114</v>
      </c>
      <c r="E57" s="81"/>
      <c r="F57" s="81"/>
      <c r="G57" s="81"/>
      <c r="H57" s="14" t="s">
        <v>112</v>
      </c>
      <c r="I57" s="15" t="s">
        <v>113</v>
      </c>
      <c r="J57" s="15" t="s">
        <v>16</v>
      </c>
      <c r="K57" s="15" t="s">
        <v>19</v>
      </c>
      <c r="L57" s="15" t="s">
        <v>14</v>
      </c>
      <c r="M57" s="16">
        <v>350</v>
      </c>
      <c r="N57" s="16"/>
      <c r="O57" s="16">
        <f>M57+N57</f>
        <v>350</v>
      </c>
      <c r="P57" s="16">
        <v>350</v>
      </c>
      <c r="Q57" s="16"/>
      <c r="R57" s="16">
        <f>P57+Q57</f>
        <v>350</v>
      </c>
      <c r="S57" s="22"/>
      <c r="T57" s="42"/>
    </row>
    <row r="58" spans="1:20" ht="21.75" customHeight="1" x14ac:dyDescent="0.2">
      <c r="A58" s="8"/>
      <c r="B58" s="82" t="s">
        <v>115</v>
      </c>
      <c r="C58" s="82"/>
      <c r="D58" s="82"/>
      <c r="E58" s="82"/>
      <c r="F58" s="82"/>
      <c r="G58" s="82"/>
      <c r="H58" s="14" t="s">
        <v>116</v>
      </c>
      <c r="I58" s="10" t="s">
        <v>117</v>
      </c>
      <c r="J58" s="10" t="s">
        <v>14</v>
      </c>
      <c r="K58" s="10" t="s">
        <v>14</v>
      </c>
      <c r="L58" s="10" t="s">
        <v>14</v>
      </c>
      <c r="M58" s="20">
        <f t="shared" si="16"/>
        <v>34743.199999999997</v>
      </c>
      <c r="N58" s="20">
        <f t="shared" si="17"/>
        <v>0</v>
      </c>
      <c r="O58" s="20">
        <f t="shared" si="17"/>
        <v>34743.199999999997</v>
      </c>
      <c r="P58" s="20">
        <v>34743.199999999997</v>
      </c>
      <c r="Q58" s="20">
        <f t="shared" si="17"/>
        <v>1765.9</v>
      </c>
      <c r="R58" s="20">
        <f t="shared" si="17"/>
        <v>36509.1</v>
      </c>
      <c r="S58" s="22"/>
      <c r="T58" s="42"/>
    </row>
    <row r="59" spans="1:20" ht="17.25" customHeight="1" x14ac:dyDescent="0.2">
      <c r="A59" s="8"/>
      <c r="B59" s="13"/>
      <c r="C59" s="81" t="s">
        <v>15</v>
      </c>
      <c r="D59" s="81"/>
      <c r="E59" s="81"/>
      <c r="F59" s="81"/>
      <c r="G59" s="81"/>
      <c r="H59" s="14" t="s">
        <v>116</v>
      </c>
      <c r="I59" s="15" t="s">
        <v>117</v>
      </c>
      <c r="J59" s="15" t="s">
        <v>16</v>
      </c>
      <c r="K59" s="15" t="s">
        <v>14</v>
      </c>
      <c r="L59" s="15" t="s">
        <v>14</v>
      </c>
      <c r="M59" s="16">
        <f t="shared" si="16"/>
        <v>34743.199999999997</v>
      </c>
      <c r="N59" s="16">
        <f t="shared" si="17"/>
        <v>0</v>
      </c>
      <c r="O59" s="16">
        <f t="shared" si="17"/>
        <v>34743.199999999997</v>
      </c>
      <c r="P59" s="16">
        <v>34743.199999999997</v>
      </c>
      <c r="Q59" s="16">
        <f t="shared" si="17"/>
        <v>1765.9</v>
      </c>
      <c r="R59" s="16">
        <f t="shared" si="17"/>
        <v>36509.1</v>
      </c>
      <c r="S59" s="22"/>
      <c r="T59" s="42"/>
    </row>
    <row r="60" spans="1:20" ht="83.25" customHeight="1" x14ac:dyDescent="0.2">
      <c r="A60" s="8"/>
      <c r="B60" s="18"/>
      <c r="C60" s="19"/>
      <c r="D60" s="81" t="s">
        <v>118</v>
      </c>
      <c r="E60" s="81"/>
      <c r="F60" s="81"/>
      <c r="G60" s="81"/>
      <c r="H60" s="14" t="s">
        <v>116</v>
      </c>
      <c r="I60" s="15" t="s">
        <v>117</v>
      </c>
      <c r="J60" s="15" t="s">
        <v>16</v>
      </c>
      <c r="K60" s="15" t="s">
        <v>19</v>
      </c>
      <c r="L60" s="15" t="s">
        <v>14</v>
      </c>
      <c r="M60" s="16">
        <v>34743.199999999997</v>
      </c>
      <c r="N60" s="16"/>
      <c r="O60" s="16">
        <f>M60+N60</f>
        <v>34743.199999999997</v>
      </c>
      <c r="P60" s="16">
        <v>34743.199999999997</v>
      </c>
      <c r="Q60" s="16">
        <f>35.9+1730</f>
        <v>1765.9</v>
      </c>
      <c r="R60" s="16">
        <f>P60+Q60</f>
        <v>36509.1</v>
      </c>
      <c r="S60" s="22" t="s">
        <v>359</v>
      </c>
      <c r="T60" s="42"/>
    </row>
    <row r="61" spans="1:20" ht="26.25" customHeight="1" x14ac:dyDescent="0.2">
      <c r="A61" s="8"/>
      <c r="B61" s="82" t="s">
        <v>119</v>
      </c>
      <c r="C61" s="82"/>
      <c r="D61" s="82"/>
      <c r="E61" s="82"/>
      <c r="F61" s="82"/>
      <c r="G61" s="82"/>
      <c r="H61" s="14" t="s">
        <v>120</v>
      </c>
      <c r="I61" s="10" t="s">
        <v>121</v>
      </c>
      <c r="J61" s="10" t="s">
        <v>14</v>
      </c>
      <c r="K61" s="10" t="s">
        <v>14</v>
      </c>
      <c r="L61" s="10" t="s">
        <v>14</v>
      </c>
      <c r="M61" s="20">
        <f>M65</f>
        <v>368335.5</v>
      </c>
      <c r="N61" s="20">
        <f>N65</f>
        <v>26553.7</v>
      </c>
      <c r="O61" s="20">
        <f>O65</f>
        <v>394889.2</v>
      </c>
      <c r="P61" s="20">
        <v>394889.2</v>
      </c>
      <c r="Q61" s="20">
        <f>Q65</f>
        <v>34714.600000000006</v>
      </c>
      <c r="R61" s="20">
        <f>R65</f>
        <v>429603.79999999993</v>
      </c>
      <c r="S61" s="22"/>
      <c r="T61" s="42"/>
    </row>
    <row r="62" spans="1:20" ht="27.75" hidden="1" customHeight="1" x14ac:dyDescent="0.2">
      <c r="A62" s="8"/>
      <c r="B62" s="13"/>
      <c r="C62" s="81" t="s">
        <v>122</v>
      </c>
      <c r="D62" s="81"/>
      <c r="E62" s="81"/>
      <c r="F62" s="81"/>
      <c r="G62" s="81"/>
      <c r="H62" s="14" t="s">
        <v>123</v>
      </c>
      <c r="I62" s="15" t="s">
        <v>121</v>
      </c>
      <c r="J62" s="15" t="s">
        <v>87</v>
      </c>
      <c r="K62" s="15" t="s">
        <v>14</v>
      </c>
      <c r="L62" s="15" t="s">
        <v>14</v>
      </c>
      <c r="M62" s="16">
        <v>0</v>
      </c>
      <c r="N62" s="16">
        <f t="shared" ref="N62:N63" si="18">N63</f>
        <v>0</v>
      </c>
      <c r="O62" s="16">
        <f t="shared" ref="O62:O63" si="19">O63</f>
        <v>0</v>
      </c>
      <c r="P62" s="16">
        <v>0</v>
      </c>
      <c r="Q62" s="16">
        <f t="shared" ref="Q62:Q63" si="20">Q63</f>
        <v>0</v>
      </c>
      <c r="R62" s="16">
        <f t="shared" ref="R62:R63" si="21">R63</f>
        <v>0</v>
      </c>
      <c r="S62" s="22"/>
      <c r="T62" s="42"/>
    </row>
    <row r="63" spans="1:20" ht="18" hidden="1" customHeight="1" x14ac:dyDescent="0.2">
      <c r="A63" s="8"/>
      <c r="B63" s="18"/>
      <c r="C63" s="19"/>
      <c r="D63" s="81" t="s">
        <v>124</v>
      </c>
      <c r="E63" s="81"/>
      <c r="F63" s="81"/>
      <c r="G63" s="81"/>
      <c r="H63" s="14" t="s">
        <v>123</v>
      </c>
      <c r="I63" s="15" t="s">
        <v>121</v>
      </c>
      <c r="J63" s="15" t="s">
        <v>87</v>
      </c>
      <c r="K63" s="15" t="s">
        <v>125</v>
      </c>
      <c r="L63" s="15" t="s">
        <v>14</v>
      </c>
      <c r="M63" s="16">
        <v>0</v>
      </c>
      <c r="N63" s="16">
        <f t="shared" si="18"/>
        <v>0</v>
      </c>
      <c r="O63" s="16">
        <f t="shared" si="19"/>
        <v>0</v>
      </c>
      <c r="P63" s="16">
        <v>0</v>
      </c>
      <c r="Q63" s="16">
        <f t="shared" si="20"/>
        <v>0</v>
      </c>
      <c r="R63" s="16">
        <f t="shared" si="21"/>
        <v>0</v>
      </c>
      <c r="S63" s="22"/>
      <c r="T63" s="42"/>
    </row>
    <row r="64" spans="1:20" ht="21.75" hidden="1" customHeight="1" x14ac:dyDescent="0.2">
      <c r="A64" s="8"/>
      <c r="B64" s="18"/>
      <c r="C64" s="43"/>
      <c r="D64" s="19"/>
      <c r="E64" s="81" t="s">
        <v>126</v>
      </c>
      <c r="F64" s="81"/>
      <c r="G64" s="81"/>
      <c r="H64" s="14" t="s">
        <v>123</v>
      </c>
      <c r="I64" s="15" t="s">
        <v>121</v>
      </c>
      <c r="J64" s="15" t="s">
        <v>87</v>
      </c>
      <c r="K64" s="15" t="s">
        <v>125</v>
      </c>
      <c r="L64" s="15" t="s">
        <v>127</v>
      </c>
      <c r="M64" s="16">
        <v>0</v>
      </c>
      <c r="N64" s="16"/>
      <c r="O64" s="16">
        <f>M64+N64</f>
        <v>0</v>
      </c>
      <c r="P64" s="16">
        <v>0</v>
      </c>
      <c r="Q64" s="16"/>
      <c r="R64" s="16">
        <f>P64+Q64</f>
        <v>0</v>
      </c>
      <c r="S64" s="22"/>
      <c r="T64" s="42"/>
    </row>
    <row r="65" spans="1:20" ht="21" customHeight="1" x14ac:dyDescent="0.2">
      <c r="A65" s="8"/>
      <c r="B65" s="13"/>
      <c r="C65" s="81" t="s">
        <v>15</v>
      </c>
      <c r="D65" s="81"/>
      <c r="E65" s="81"/>
      <c r="F65" s="81"/>
      <c r="G65" s="81"/>
      <c r="H65" s="14" t="s">
        <v>128</v>
      </c>
      <c r="I65" s="15" t="s">
        <v>121</v>
      </c>
      <c r="J65" s="15" t="s">
        <v>16</v>
      </c>
      <c r="K65" s="15" t="s">
        <v>14</v>
      </c>
      <c r="L65" s="15" t="s">
        <v>14</v>
      </c>
      <c r="M65" s="16">
        <f>M66+M67+M68+M69+M70+M71+M72+M73</f>
        <v>368335.5</v>
      </c>
      <c r="N65" s="16">
        <f>N66+N67+N68+N69+N70+N71+N72+N73</f>
        <v>26553.7</v>
      </c>
      <c r="O65" s="16">
        <f>O66+O67+O68+O69+O70+O71+O72+O73</f>
        <v>394889.2</v>
      </c>
      <c r="P65" s="16">
        <v>394889.2</v>
      </c>
      <c r="Q65" s="16">
        <f>Q66+Q67+Q68+Q69+Q70+Q71+Q72+Q73</f>
        <v>34714.600000000006</v>
      </c>
      <c r="R65" s="16">
        <f>R66+R67+R68+R69+R70+R71+R72+R73</f>
        <v>429603.79999999993</v>
      </c>
      <c r="S65" s="22"/>
      <c r="T65" s="42"/>
    </row>
    <row r="66" spans="1:20" ht="55.5" customHeight="1" x14ac:dyDescent="0.2">
      <c r="A66" s="8"/>
      <c r="B66" s="18"/>
      <c r="C66" s="19"/>
      <c r="D66" s="81" t="s">
        <v>129</v>
      </c>
      <c r="E66" s="81"/>
      <c r="F66" s="81"/>
      <c r="G66" s="81"/>
      <c r="H66" s="14" t="s">
        <v>130</v>
      </c>
      <c r="I66" s="15" t="s">
        <v>121</v>
      </c>
      <c r="J66" s="15" t="s">
        <v>16</v>
      </c>
      <c r="K66" s="15" t="s">
        <v>19</v>
      </c>
      <c r="L66" s="15" t="s">
        <v>14</v>
      </c>
      <c r="M66" s="16">
        <v>100</v>
      </c>
      <c r="N66" s="16"/>
      <c r="O66" s="16">
        <f t="shared" ref="O66:O73" si="22">M66+N66</f>
        <v>100</v>
      </c>
      <c r="P66" s="16">
        <v>100</v>
      </c>
      <c r="Q66" s="16">
        <v>350</v>
      </c>
      <c r="R66" s="16">
        <f t="shared" ref="R66:R73" si="23">P66+Q66</f>
        <v>450</v>
      </c>
      <c r="S66" s="22" t="s">
        <v>362</v>
      </c>
      <c r="T66" s="42"/>
    </row>
    <row r="67" spans="1:20" ht="52.5" customHeight="1" x14ac:dyDescent="0.2">
      <c r="A67" s="8"/>
      <c r="B67" s="18"/>
      <c r="C67" s="19"/>
      <c r="D67" s="81" t="s">
        <v>131</v>
      </c>
      <c r="E67" s="81"/>
      <c r="F67" s="81"/>
      <c r="G67" s="81"/>
      <c r="H67" s="14" t="s">
        <v>132</v>
      </c>
      <c r="I67" s="15" t="s">
        <v>121</v>
      </c>
      <c r="J67" s="15" t="s">
        <v>16</v>
      </c>
      <c r="K67" s="15" t="s">
        <v>22</v>
      </c>
      <c r="L67" s="15" t="s">
        <v>14</v>
      </c>
      <c r="M67" s="16">
        <v>1875.4</v>
      </c>
      <c r="N67" s="16"/>
      <c r="O67" s="16">
        <f t="shared" si="22"/>
        <v>1875.4</v>
      </c>
      <c r="P67" s="16">
        <v>1875.4</v>
      </c>
      <c r="Q67" s="16">
        <v>350</v>
      </c>
      <c r="R67" s="16">
        <f t="shared" si="23"/>
        <v>2225.4</v>
      </c>
      <c r="S67" s="22" t="s">
        <v>364</v>
      </c>
      <c r="T67" s="42"/>
    </row>
    <row r="68" spans="1:20" ht="60.75" customHeight="1" x14ac:dyDescent="0.2">
      <c r="A68" s="8"/>
      <c r="B68" s="18"/>
      <c r="C68" s="19"/>
      <c r="D68" s="81" t="s">
        <v>133</v>
      </c>
      <c r="E68" s="81"/>
      <c r="F68" s="81"/>
      <c r="G68" s="81"/>
      <c r="H68" s="14" t="s">
        <v>134</v>
      </c>
      <c r="I68" s="15" t="s">
        <v>121</v>
      </c>
      <c r="J68" s="15" t="s">
        <v>16</v>
      </c>
      <c r="K68" s="15" t="s">
        <v>25</v>
      </c>
      <c r="L68" s="15" t="s">
        <v>14</v>
      </c>
      <c r="M68" s="16">
        <v>7760</v>
      </c>
      <c r="N68" s="16">
        <v>108</v>
      </c>
      <c r="O68" s="16">
        <f t="shared" si="22"/>
        <v>7868</v>
      </c>
      <c r="P68" s="16">
        <v>7868</v>
      </c>
      <c r="Q68" s="16">
        <f>370-281.1</f>
        <v>88.899999999999977</v>
      </c>
      <c r="R68" s="16">
        <f t="shared" si="23"/>
        <v>7956.9</v>
      </c>
      <c r="S68" s="22" t="s">
        <v>419</v>
      </c>
      <c r="T68" s="42"/>
    </row>
    <row r="69" spans="1:20" ht="281.25" customHeight="1" x14ac:dyDescent="0.2">
      <c r="A69" s="8"/>
      <c r="B69" s="18"/>
      <c r="C69" s="19"/>
      <c r="D69" s="81" t="s">
        <v>135</v>
      </c>
      <c r="E69" s="81"/>
      <c r="F69" s="81"/>
      <c r="G69" s="81"/>
      <c r="H69" s="14" t="s">
        <v>136</v>
      </c>
      <c r="I69" s="15" t="s">
        <v>121</v>
      </c>
      <c r="J69" s="15" t="s">
        <v>16</v>
      </c>
      <c r="K69" s="15" t="s">
        <v>28</v>
      </c>
      <c r="L69" s="15" t="s">
        <v>14</v>
      </c>
      <c r="M69" s="16">
        <v>308443.09999999998</v>
      </c>
      <c r="N69" s="16">
        <f>518.8+6600+6930.2+9900+350-108</f>
        <v>24191</v>
      </c>
      <c r="O69" s="16">
        <f t="shared" si="22"/>
        <v>332634.09999999998</v>
      </c>
      <c r="P69" s="16">
        <v>332634.09999999998</v>
      </c>
      <c r="Q69" s="16">
        <f>-350+1810.9+338.1+29674.3+1580.6+2008.8+281.1</f>
        <v>35343.800000000003</v>
      </c>
      <c r="R69" s="16">
        <f t="shared" si="23"/>
        <v>367977.89999999997</v>
      </c>
      <c r="S69" s="26" t="s">
        <v>400</v>
      </c>
      <c r="T69" s="42"/>
    </row>
    <row r="70" spans="1:20" ht="102.75" customHeight="1" x14ac:dyDescent="0.2">
      <c r="A70" s="8"/>
      <c r="B70" s="18"/>
      <c r="C70" s="19"/>
      <c r="D70" s="81" t="s">
        <v>137</v>
      </c>
      <c r="E70" s="81"/>
      <c r="F70" s="81"/>
      <c r="G70" s="81"/>
      <c r="H70" s="14" t="s">
        <v>138</v>
      </c>
      <c r="I70" s="15" t="s">
        <v>121</v>
      </c>
      <c r="J70" s="15" t="s">
        <v>16</v>
      </c>
      <c r="K70" s="15" t="s">
        <v>63</v>
      </c>
      <c r="L70" s="15" t="s">
        <v>14</v>
      </c>
      <c r="M70" s="16">
        <v>15549.2</v>
      </c>
      <c r="N70" s="16">
        <v>1954.7</v>
      </c>
      <c r="O70" s="16">
        <f t="shared" si="22"/>
        <v>17503.900000000001</v>
      </c>
      <c r="P70" s="16">
        <v>17503.900000000001</v>
      </c>
      <c r="Q70" s="16">
        <f>-1810.9+392.8</f>
        <v>-1418.1000000000001</v>
      </c>
      <c r="R70" s="16">
        <f t="shared" si="23"/>
        <v>16085.800000000001</v>
      </c>
      <c r="S70" s="22" t="s">
        <v>401</v>
      </c>
      <c r="T70" s="42"/>
    </row>
    <row r="71" spans="1:20" ht="48" customHeight="1" x14ac:dyDescent="0.2">
      <c r="A71" s="8"/>
      <c r="B71" s="18"/>
      <c r="C71" s="19"/>
      <c r="D71" s="81" t="s">
        <v>139</v>
      </c>
      <c r="E71" s="81"/>
      <c r="F71" s="81"/>
      <c r="G71" s="81"/>
      <c r="H71" s="14" t="s">
        <v>140</v>
      </c>
      <c r="I71" s="15" t="s">
        <v>121</v>
      </c>
      <c r="J71" s="15" t="s">
        <v>16</v>
      </c>
      <c r="K71" s="15" t="s">
        <v>66</v>
      </c>
      <c r="L71" s="15" t="s">
        <v>14</v>
      </c>
      <c r="M71" s="16">
        <v>14420.5</v>
      </c>
      <c r="N71" s="16">
        <v>300</v>
      </c>
      <c r="O71" s="16">
        <f t="shared" si="22"/>
        <v>14720.5</v>
      </c>
      <c r="P71" s="16">
        <v>14720.5</v>
      </c>
      <c r="Q71" s="16"/>
      <c r="R71" s="16">
        <f t="shared" si="23"/>
        <v>14720.5</v>
      </c>
      <c r="S71" s="22"/>
      <c r="T71" s="42"/>
    </row>
    <row r="72" spans="1:20" ht="21.75" customHeight="1" x14ac:dyDescent="0.2">
      <c r="A72" s="8"/>
      <c r="B72" s="18"/>
      <c r="C72" s="19"/>
      <c r="D72" s="81" t="s">
        <v>141</v>
      </c>
      <c r="E72" s="81"/>
      <c r="F72" s="81"/>
      <c r="G72" s="81"/>
      <c r="H72" s="14" t="s">
        <v>142</v>
      </c>
      <c r="I72" s="15" t="s">
        <v>121</v>
      </c>
      <c r="J72" s="15" t="s">
        <v>16</v>
      </c>
      <c r="K72" s="15" t="s">
        <v>110</v>
      </c>
      <c r="L72" s="15" t="s">
        <v>14</v>
      </c>
      <c r="M72" s="16">
        <v>17263.2</v>
      </c>
      <c r="N72" s="16"/>
      <c r="O72" s="16">
        <f t="shared" si="22"/>
        <v>17263.2</v>
      </c>
      <c r="P72" s="16">
        <v>17263.2</v>
      </c>
      <c r="Q72" s="16"/>
      <c r="R72" s="16">
        <f>P72+Q72</f>
        <v>17263.2</v>
      </c>
      <c r="S72" s="22"/>
      <c r="T72" s="42"/>
    </row>
    <row r="73" spans="1:20" ht="22.5" customHeight="1" x14ac:dyDescent="0.2">
      <c r="A73" s="8"/>
      <c r="B73" s="18"/>
      <c r="C73" s="19"/>
      <c r="D73" s="81" t="s">
        <v>143</v>
      </c>
      <c r="E73" s="81"/>
      <c r="F73" s="81"/>
      <c r="G73" s="81"/>
      <c r="H73" s="14" t="s">
        <v>144</v>
      </c>
      <c r="I73" s="15" t="s">
        <v>121</v>
      </c>
      <c r="J73" s="15" t="s">
        <v>16</v>
      </c>
      <c r="K73" s="15" t="s">
        <v>145</v>
      </c>
      <c r="L73" s="15" t="s">
        <v>14</v>
      </c>
      <c r="M73" s="16">
        <v>2924.1</v>
      </c>
      <c r="N73" s="16"/>
      <c r="O73" s="16">
        <f t="shared" si="22"/>
        <v>2924.1</v>
      </c>
      <c r="P73" s="16">
        <v>2924.1</v>
      </c>
      <c r="Q73" s="16"/>
      <c r="R73" s="16">
        <f t="shared" si="23"/>
        <v>2924.1</v>
      </c>
      <c r="S73" s="22"/>
      <c r="T73" s="42"/>
    </row>
    <row r="74" spans="1:20" ht="19.5" customHeight="1" x14ac:dyDescent="0.2">
      <c r="A74" s="8"/>
      <c r="B74" s="82" t="s">
        <v>146</v>
      </c>
      <c r="C74" s="82"/>
      <c r="D74" s="82"/>
      <c r="E74" s="82"/>
      <c r="F74" s="82"/>
      <c r="G74" s="82"/>
      <c r="H74" s="14" t="s">
        <v>147</v>
      </c>
      <c r="I74" s="10" t="s">
        <v>148</v>
      </c>
      <c r="J74" s="10" t="s">
        <v>14</v>
      </c>
      <c r="K74" s="10" t="s">
        <v>14</v>
      </c>
      <c r="L74" s="10" t="s">
        <v>14</v>
      </c>
      <c r="M74" s="20">
        <f>M75</f>
        <v>50484.800000000003</v>
      </c>
      <c r="N74" s="20">
        <f>N75</f>
        <v>-76.200000000000045</v>
      </c>
      <c r="O74" s="20">
        <f>O75</f>
        <v>50408.600000000006</v>
      </c>
      <c r="P74" s="20">
        <v>50408.600000000006</v>
      </c>
      <c r="Q74" s="20">
        <f>Q75</f>
        <v>-1968.2</v>
      </c>
      <c r="R74" s="20">
        <f>R75</f>
        <v>48440.400000000009</v>
      </c>
      <c r="S74" s="22"/>
      <c r="T74" s="42"/>
    </row>
    <row r="75" spans="1:20" ht="16.5" customHeight="1" x14ac:dyDescent="0.2">
      <c r="A75" s="8"/>
      <c r="B75" s="13"/>
      <c r="C75" s="81" t="s">
        <v>15</v>
      </c>
      <c r="D75" s="81"/>
      <c r="E75" s="81"/>
      <c r="F75" s="81"/>
      <c r="G75" s="81"/>
      <c r="H75" s="14" t="s">
        <v>147</v>
      </c>
      <c r="I75" s="15" t="s">
        <v>148</v>
      </c>
      <c r="J75" s="15" t="s">
        <v>16</v>
      </c>
      <c r="K75" s="15" t="s">
        <v>14</v>
      </c>
      <c r="L75" s="15" t="s">
        <v>14</v>
      </c>
      <c r="M75" s="16">
        <f>M76+M77</f>
        <v>50484.800000000003</v>
      </c>
      <c r="N75" s="16">
        <f>N76+N77</f>
        <v>-76.200000000000045</v>
      </c>
      <c r="O75" s="16">
        <f>O76+O77</f>
        <v>50408.600000000006</v>
      </c>
      <c r="P75" s="16">
        <v>50408.600000000006</v>
      </c>
      <c r="Q75" s="16">
        <f>Q76+Q77</f>
        <v>-1968.2</v>
      </c>
      <c r="R75" s="16">
        <f>R76+R77</f>
        <v>48440.400000000009</v>
      </c>
      <c r="S75" s="22"/>
      <c r="T75" s="42"/>
    </row>
    <row r="76" spans="1:20" ht="72.75" customHeight="1" x14ac:dyDescent="0.2">
      <c r="A76" s="8"/>
      <c r="B76" s="18"/>
      <c r="C76" s="19"/>
      <c r="D76" s="81" t="s">
        <v>149</v>
      </c>
      <c r="E76" s="81"/>
      <c r="F76" s="81"/>
      <c r="G76" s="81"/>
      <c r="H76" s="14" t="s">
        <v>150</v>
      </c>
      <c r="I76" s="15" t="s">
        <v>148</v>
      </c>
      <c r="J76" s="15" t="s">
        <v>16</v>
      </c>
      <c r="K76" s="15" t="s">
        <v>19</v>
      </c>
      <c r="L76" s="15" t="s">
        <v>14</v>
      </c>
      <c r="M76" s="16">
        <v>34065.9</v>
      </c>
      <c r="N76" s="16">
        <f>-503.6-45-30-72.6</f>
        <v>-651.20000000000005</v>
      </c>
      <c r="O76" s="16">
        <f t="shared" ref="O76:O77" si="24">M76+N76</f>
        <v>33414.700000000004</v>
      </c>
      <c r="P76" s="16">
        <v>33414.700000000004</v>
      </c>
      <c r="Q76" s="16">
        <f>-36.4-50-60-35-28-83.3-70-48-835-10-112.5</f>
        <v>-1368.2</v>
      </c>
      <c r="R76" s="16">
        <f t="shared" ref="R76:R77" si="25">P76+Q76</f>
        <v>32046.500000000004</v>
      </c>
      <c r="S76" s="26" t="s">
        <v>377</v>
      </c>
      <c r="T76" s="42"/>
    </row>
    <row r="77" spans="1:20" ht="37.5" customHeight="1" x14ac:dyDescent="0.2">
      <c r="A77" s="8"/>
      <c r="B77" s="18"/>
      <c r="C77" s="19"/>
      <c r="D77" s="81" t="s">
        <v>151</v>
      </c>
      <c r="E77" s="81"/>
      <c r="F77" s="81"/>
      <c r="G77" s="81"/>
      <c r="H77" s="14" t="s">
        <v>152</v>
      </c>
      <c r="I77" s="15" t="s">
        <v>148</v>
      </c>
      <c r="J77" s="15" t="s">
        <v>16</v>
      </c>
      <c r="K77" s="15" t="s">
        <v>22</v>
      </c>
      <c r="L77" s="15" t="s">
        <v>14</v>
      </c>
      <c r="M77" s="16">
        <v>16418.900000000001</v>
      </c>
      <c r="N77" s="16">
        <f>575</f>
        <v>575</v>
      </c>
      <c r="O77" s="16">
        <f t="shared" si="24"/>
        <v>16993.900000000001</v>
      </c>
      <c r="P77" s="16">
        <v>16993.900000000001</v>
      </c>
      <c r="Q77" s="16">
        <f>-600</f>
        <v>-600</v>
      </c>
      <c r="R77" s="16">
        <f t="shared" si="25"/>
        <v>16393.900000000001</v>
      </c>
      <c r="S77" s="26" t="s">
        <v>416</v>
      </c>
      <c r="T77" s="42"/>
    </row>
    <row r="78" spans="1:20" ht="19.5" customHeight="1" x14ac:dyDescent="0.2">
      <c r="A78" s="8"/>
      <c r="B78" s="82" t="s">
        <v>153</v>
      </c>
      <c r="C78" s="82"/>
      <c r="D78" s="82"/>
      <c r="E78" s="82"/>
      <c r="F78" s="82"/>
      <c r="G78" s="82"/>
      <c r="H78" s="14" t="s">
        <v>154</v>
      </c>
      <c r="I78" s="10" t="s">
        <v>19</v>
      </c>
      <c r="J78" s="10" t="s">
        <v>14</v>
      </c>
      <c r="K78" s="10" t="s">
        <v>14</v>
      </c>
      <c r="L78" s="10" t="s">
        <v>14</v>
      </c>
      <c r="M78" s="20">
        <f>M79+M81+M83</f>
        <v>545710.6</v>
      </c>
      <c r="N78" s="20">
        <f>N79+N81+N83</f>
        <v>39743.4</v>
      </c>
      <c r="O78" s="20">
        <f>O79+O81+O83</f>
        <v>585454</v>
      </c>
      <c r="P78" s="20">
        <v>585454</v>
      </c>
      <c r="Q78" s="20">
        <f>Q79+Q81+Q83</f>
        <v>540420.80000000005</v>
      </c>
      <c r="R78" s="20">
        <f>R79+R81+R83</f>
        <v>1125874.8</v>
      </c>
      <c r="S78" s="22"/>
      <c r="T78" s="42"/>
    </row>
    <row r="79" spans="1:20" ht="26.25" customHeight="1" x14ac:dyDescent="0.2">
      <c r="A79" s="8"/>
      <c r="B79" s="13"/>
      <c r="C79" s="81" t="s">
        <v>77</v>
      </c>
      <c r="D79" s="81"/>
      <c r="E79" s="81"/>
      <c r="F79" s="81"/>
      <c r="G79" s="81"/>
      <c r="H79" s="14" t="s">
        <v>155</v>
      </c>
      <c r="I79" s="15" t="s">
        <v>19</v>
      </c>
      <c r="J79" s="15" t="s">
        <v>45</v>
      </c>
      <c r="K79" s="15" t="s">
        <v>14</v>
      </c>
      <c r="L79" s="15" t="s">
        <v>14</v>
      </c>
      <c r="M79" s="16">
        <f>M80</f>
        <v>485007</v>
      </c>
      <c r="N79" s="16">
        <f>N80</f>
        <v>0</v>
      </c>
      <c r="O79" s="16">
        <f>O80</f>
        <v>485007</v>
      </c>
      <c r="P79" s="16">
        <v>485007</v>
      </c>
      <c r="Q79" s="16">
        <f>Q80</f>
        <v>516884.30000000005</v>
      </c>
      <c r="R79" s="16">
        <f>R80</f>
        <v>1001891.3</v>
      </c>
      <c r="S79" s="22"/>
      <c r="T79" s="42"/>
    </row>
    <row r="80" spans="1:20" ht="48" customHeight="1" x14ac:dyDescent="0.2">
      <c r="A80" s="8"/>
      <c r="B80" s="18"/>
      <c r="C80" s="19"/>
      <c r="D80" s="81" t="s">
        <v>156</v>
      </c>
      <c r="E80" s="81"/>
      <c r="F80" s="81"/>
      <c r="G80" s="81"/>
      <c r="H80" s="14" t="s">
        <v>155</v>
      </c>
      <c r="I80" s="15" t="s">
        <v>19</v>
      </c>
      <c r="J80" s="15" t="s">
        <v>45</v>
      </c>
      <c r="K80" s="15" t="s">
        <v>157</v>
      </c>
      <c r="L80" s="15" t="s">
        <v>14</v>
      </c>
      <c r="M80" s="16">
        <v>485007</v>
      </c>
      <c r="N80" s="16"/>
      <c r="O80" s="16">
        <f>M80+N80</f>
        <v>485007</v>
      </c>
      <c r="P80" s="16">
        <v>485007</v>
      </c>
      <c r="Q80" s="16">
        <f>480702.4+36181.9</f>
        <v>516884.30000000005</v>
      </c>
      <c r="R80" s="16">
        <f>P80+Q80</f>
        <v>1001891.3</v>
      </c>
      <c r="S80" s="22" t="s">
        <v>360</v>
      </c>
      <c r="T80" s="42"/>
    </row>
    <row r="81" spans="1:20" ht="21.75" customHeight="1" x14ac:dyDescent="0.2">
      <c r="A81" s="8"/>
      <c r="B81" s="13"/>
      <c r="C81" s="81" t="s">
        <v>85</v>
      </c>
      <c r="D81" s="81"/>
      <c r="E81" s="81"/>
      <c r="F81" s="81"/>
      <c r="G81" s="81"/>
      <c r="H81" s="14" t="s">
        <v>158</v>
      </c>
      <c r="I81" s="15" t="s">
        <v>19</v>
      </c>
      <c r="J81" s="15" t="s">
        <v>87</v>
      </c>
      <c r="K81" s="15" t="s">
        <v>14</v>
      </c>
      <c r="L81" s="15" t="s">
        <v>14</v>
      </c>
      <c r="M81" s="16">
        <f>M82</f>
        <v>2191.1999999999998</v>
      </c>
      <c r="N81" s="16">
        <f>N82</f>
        <v>0</v>
      </c>
      <c r="O81" s="16">
        <f>O82</f>
        <v>2191.1999999999998</v>
      </c>
      <c r="P81" s="16">
        <v>2191.1999999999998</v>
      </c>
      <c r="Q81" s="16">
        <f>Q82</f>
        <v>728.3</v>
      </c>
      <c r="R81" s="16">
        <f>R82</f>
        <v>2919.5</v>
      </c>
      <c r="S81" s="22"/>
      <c r="T81" s="42"/>
    </row>
    <row r="82" spans="1:20" ht="50.25" customHeight="1" x14ac:dyDescent="0.2">
      <c r="A82" s="8"/>
      <c r="B82" s="18"/>
      <c r="C82" s="19"/>
      <c r="D82" s="81" t="s">
        <v>159</v>
      </c>
      <c r="E82" s="81"/>
      <c r="F82" s="81"/>
      <c r="G82" s="81"/>
      <c r="H82" s="14" t="s">
        <v>158</v>
      </c>
      <c r="I82" s="15" t="s">
        <v>19</v>
      </c>
      <c r="J82" s="15" t="s">
        <v>87</v>
      </c>
      <c r="K82" s="15" t="s">
        <v>13</v>
      </c>
      <c r="L82" s="15" t="s">
        <v>14</v>
      </c>
      <c r="M82" s="16">
        <v>2191.1999999999998</v>
      </c>
      <c r="N82" s="16"/>
      <c r="O82" s="16">
        <f>M82+N82</f>
        <v>2191.1999999999998</v>
      </c>
      <c r="P82" s="16">
        <v>2191.1999999999998</v>
      </c>
      <c r="Q82" s="16">
        <f>40.9+651+36.4</f>
        <v>728.3</v>
      </c>
      <c r="R82" s="16">
        <f>P82+Q82</f>
        <v>2919.5</v>
      </c>
      <c r="S82" s="22" t="s">
        <v>160</v>
      </c>
      <c r="T82" s="42"/>
    </row>
    <row r="83" spans="1:20" ht="39.75" customHeight="1" x14ac:dyDescent="0.2">
      <c r="A83" s="8"/>
      <c r="B83" s="13"/>
      <c r="C83" s="81" t="s">
        <v>15</v>
      </c>
      <c r="D83" s="81"/>
      <c r="E83" s="81"/>
      <c r="F83" s="81"/>
      <c r="G83" s="81"/>
      <c r="H83" s="14" t="s">
        <v>161</v>
      </c>
      <c r="I83" s="15" t="s">
        <v>19</v>
      </c>
      <c r="J83" s="15" t="s">
        <v>16</v>
      </c>
      <c r="K83" s="15" t="s">
        <v>14</v>
      </c>
      <c r="L83" s="15" t="s">
        <v>14</v>
      </c>
      <c r="M83" s="16">
        <f>M84+M85</f>
        <v>58512.4</v>
      </c>
      <c r="N83" s="16">
        <f>N84+N85</f>
        <v>39743.4</v>
      </c>
      <c r="O83" s="16">
        <f>O84+O85</f>
        <v>98255.800000000017</v>
      </c>
      <c r="P83" s="16">
        <v>98255.800000000017</v>
      </c>
      <c r="Q83" s="16">
        <f>Q84+Q85</f>
        <v>22808.200000000004</v>
      </c>
      <c r="R83" s="16">
        <f>R84+R85</f>
        <v>121064.00000000001</v>
      </c>
      <c r="S83" s="22"/>
      <c r="T83" s="42"/>
    </row>
    <row r="84" spans="1:20" ht="174" customHeight="1" x14ac:dyDescent="0.2">
      <c r="A84" s="8"/>
      <c r="B84" s="18"/>
      <c r="C84" s="19"/>
      <c r="D84" s="81" t="s">
        <v>162</v>
      </c>
      <c r="E84" s="81"/>
      <c r="F84" s="81"/>
      <c r="G84" s="81"/>
      <c r="H84" s="14" t="s">
        <v>163</v>
      </c>
      <c r="I84" s="15" t="s">
        <v>19</v>
      </c>
      <c r="J84" s="15" t="s">
        <v>16</v>
      </c>
      <c r="K84" s="15" t="s">
        <v>19</v>
      </c>
      <c r="L84" s="15" t="s">
        <v>14</v>
      </c>
      <c r="M84" s="16">
        <v>49708.3</v>
      </c>
      <c r="N84" s="16">
        <f>200+39543.4</f>
        <v>39743.4</v>
      </c>
      <c r="O84" s="16">
        <f t="shared" ref="O84:O85" si="26">M84+N84</f>
        <v>89451.700000000012</v>
      </c>
      <c r="P84" s="16">
        <v>89451.700000000012</v>
      </c>
      <c r="Q84" s="46">
        <f>-25259.3-3405.3+25938.9-10878.8+15705.1</f>
        <v>2100.600000000004</v>
      </c>
      <c r="R84" s="46">
        <f t="shared" ref="R84:R85" si="27">P84+Q84</f>
        <v>91552.300000000017</v>
      </c>
      <c r="S84" s="26" t="s">
        <v>375</v>
      </c>
      <c r="T84" s="42"/>
    </row>
    <row r="85" spans="1:20" ht="168" customHeight="1" x14ac:dyDescent="0.2">
      <c r="A85" s="8"/>
      <c r="B85" s="18"/>
      <c r="C85" s="19"/>
      <c r="D85" s="81" t="s">
        <v>164</v>
      </c>
      <c r="E85" s="81"/>
      <c r="F85" s="81"/>
      <c r="G85" s="81"/>
      <c r="H85" s="14" t="s">
        <v>165</v>
      </c>
      <c r="I85" s="15" t="s">
        <v>19</v>
      </c>
      <c r="J85" s="15" t="s">
        <v>16</v>
      </c>
      <c r="K85" s="15" t="s">
        <v>22</v>
      </c>
      <c r="L85" s="15" t="s">
        <v>14</v>
      </c>
      <c r="M85" s="16">
        <v>8804.1</v>
      </c>
      <c r="N85" s="16"/>
      <c r="O85" s="16">
        <f t="shared" si="26"/>
        <v>8804.1</v>
      </c>
      <c r="P85" s="16">
        <v>8804.1</v>
      </c>
      <c r="Q85" s="46">
        <f>45241.6-1900-100.5-24123.1+3405.3-1815.7</f>
        <v>20707.599999999999</v>
      </c>
      <c r="R85" s="46">
        <f t="shared" si="27"/>
        <v>29511.699999999997</v>
      </c>
      <c r="S85" s="22" t="s">
        <v>356</v>
      </c>
      <c r="T85" s="42"/>
    </row>
    <row r="86" spans="1:20" ht="27" customHeight="1" x14ac:dyDescent="0.2">
      <c r="A86" s="8"/>
      <c r="B86" s="82" t="s">
        <v>166</v>
      </c>
      <c r="C86" s="82"/>
      <c r="D86" s="82"/>
      <c r="E86" s="82"/>
      <c r="F86" s="82"/>
      <c r="G86" s="82"/>
      <c r="H86" s="14" t="s">
        <v>167</v>
      </c>
      <c r="I86" s="10" t="s">
        <v>22</v>
      </c>
      <c r="J86" s="10" t="s">
        <v>14</v>
      </c>
      <c r="K86" s="10" t="s">
        <v>14</v>
      </c>
      <c r="L86" s="10" t="s">
        <v>14</v>
      </c>
      <c r="M86" s="20">
        <f>M87</f>
        <v>44871.6</v>
      </c>
      <c r="N86" s="20">
        <f>N87</f>
        <v>0</v>
      </c>
      <c r="O86" s="20">
        <f>O87</f>
        <v>44871.6</v>
      </c>
      <c r="P86" s="20">
        <v>44871.6</v>
      </c>
      <c r="Q86" s="20">
        <f>Q87</f>
        <v>-366.79999999999995</v>
      </c>
      <c r="R86" s="20">
        <f>R87</f>
        <v>44504.799999999996</v>
      </c>
      <c r="S86" s="22"/>
      <c r="T86" s="42"/>
    </row>
    <row r="87" spans="1:20" ht="27" customHeight="1" x14ac:dyDescent="0.2">
      <c r="A87" s="8"/>
      <c r="B87" s="13"/>
      <c r="C87" s="81" t="s">
        <v>15</v>
      </c>
      <c r="D87" s="81"/>
      <c r="E87" s="81"/>
      <c r="F87" s="81"/>
      <c r="G87" s="81"/>
      <c r="H87" s="14" t="s">
        <v>167</v>
      </c>
      <c r="I87" s="15" t="s">
        <v>22</v>
      </c>
      <c r="J87" s="15" t="s">
        <v>16</v>
      </c>
      <c r="K87" s="15" t="s">
        <v>14</v>
      </c>
      <c r="L87" s="15" t="s">
        <v>14</v>
      </c>
      <c r="M87" s="16">
        <f>M88+M89+M90</f>
        <v>44871.6</v>
      </c>
      <c r="N87" s="16">
        <f>N88+N89+N90</f>
        <v>0</v>
      </c>
      <c r="O87" s="16">
        <f>O88+O89+O90</f>
        <v>44871.6</v>
      </c>
      <c r="P87" s="16">
        <v>44871.6</v>
      </c>
      <c r="Q87" s="16">
        <f>Q88+Q89+Q90</f>
        <v>-366.79999999999995</v>
      </c>
      <c r="R87" s="16">
        <f>R88+R89+R90</f>
        <v>44504.799999999996</v>
      </c>
      <c r="S87" s="22"/>
      <c r="T87" s="42"/>
    </row>
    <row r="88" spans="1:20" ht="38.25" customHeight="1" x14ac:dyDescent="0.2">
      <c r="A88" s="8"/>
      <c r="B88" s="18"/>
      <c r="C88" s="19"/>
      <c r="D88" s="81" t="s">
        <v>168</v>
      </c>
      <c r="E88" s="81"/>
      <c r="F88" s="81"/>
      <c r="G88" s="81"/>
      <c r="H88" s="14" t="s">
        <v>169</v>
      </c>
      <c r="I88" s="15" t="s">
        <v>22</v>
      </c>
      <c r="J88" s="15" t="s">
        <v>16</v>
      </c>
      <c r="K88" s="15" t="s">
        <v>19</v>
      </c>
      <c r="L88" s="15" t="s">
        <v>14</v>
      </c>
      <c r="M88" s="16">
        <v>5040</v>
      </c>
      <c r="N88" s="16"/>
      <c r="O88" s="16">
        <f t="shared" ref="O88:O90" si="28">M88+N88</f>
        <v>5040</v>
      </c>
      <c r="P88" s="16">
        <v>5040</v>
      </c>
      <c r="Q88" s="16">
        <v>-1544.4</v>
      </c>
      <c r="R88" s="16">
        <f t="shared" ref="R88:R90" si="29">P88+Q88</f>
        <v>3495.6</v>
      </c>
      <c r="S88" s="22" t="s">
        <v>351</v>
      </c>
      <c r="T88" s="42"/>
    </row>
    <row r="89" spans="1:20" ht="84" customHeight="1" x14ac:dyDescent="0.2">
      <c r="A89" s="8"/>
      <c r="B89" s="18"/>
      <c r="C89" s="19"/>
      <c r="D89" s="81" t="s">
        <v>170</v>
      </c>
      <c r="E89" s="81"/>
      <c r="F89" s="81"/>
      <c r="G89" s="81"/>
      <c r="H89" s="14" t="s">
        <v>171</v>
      </c>
      <c r="I89" s="15" t="s">
        <v>22</v>
      </c>
      <c r="J89" s="15" t="s">
        <v>16</v>
      </c>
      <c r="K89" s="15" t="s">
        <v>22</v>
      </c>
      <c r="L89" s="15" t="s">
        <v>14</v>
      </c>
      <c r="M89" s="16">
        <v>37331.599999999999</v>
      </c>
      <c r="N89" s="16"/>
      <c r="O89" s="16">
        <f t="shared" si="28"/>
        <v>37331.599999999999</v>
      </c>
      <c r="P89" s="16">
        <v>37331.599999999999</v>
      </c>
      <c r="Q89" s="16">
        <f>1251.4-73.8</f>
        <v>1177.6000000000001</v>
      </c>
      <c r="R89" s="16">
        <f t="shared" si="29"/>
        <v>38509.199999999997</v>
      </c>
      <c r="S89" s="26" t="s">
        <v>386</v>
      </c>
      <c r="T89" s="42"/>
    </row>
    <row r="90" spans="1:20" ht="21.75" customHeight="1" x14ac:dyDescent="0.2">
      <c r="A90" s="8"/>
      <c r="B90" s="18"/>
      <c r="C90" s="19"/>
      <c r="D90" s="81" t="s">
        <v>172</v>
      </c>
      <c r="E90" s="81"/>
      <c r="F90" s="81"/>
      <c r="G90" s="81"/>
      <c r="H90" s="14" t="s">
        <v>173</v>
      </c>
      <c r="I90" s="15" t="s">
        <v>22</v>
      </c>
      <c r="J90" s="15" t="s">
        <v>16</v>
      </c>
      <c r="K90" s="15" t="s">
        <v>25</v>
      </c>
      <c r="L90" s="15" t="s">
        <v>14</v>
      </c>
      <c r="M90" s="16">
        <v>2500</v>
      </c>
      <c r="N90" s="16"/>
      <c r="O90" s="16">
        <f t="shared" si="28"/>
        <v>2500</v>
      </c>
      <c r="P90" s="16">
        <v>2500</v>
      </c>
      <c r="Q90" s="16"/>
      <c r="R90" s="16">
        <f t="shared" si="29"/>
        <v>2500</v>
      </c>
      <c r="S90" s="22"/>
      <c r="T90" s="42"/>
    </row>
    <row r="91" spans="1:20" ht="24" customHeight="1" x14ac:dyDescent="0.2">
      <c r="A91" s="8"/>
      <c r="B91" s="82" t="s">
        <v>174</v>
      </c>
      <c r="C91" s="82"/>
      <c r="D91" s="82"/>
      <c r="E91" s="82"/>
      <c r="F91" s="82"/>
      <c r="G91" s="82"/>
      <c r="H91" s="14" t="s">
        <v>175</v>
      </c>
      <c r="I91" s="10" t="s">
        <v>25</v>
      </c>
      <c r="J91" s="10" t="s">
        <v>14</v>
      </c>
      <c r="K91" s="10" t="s">
        <v>14</v>
      </c>
      <c r="L91" s="10" t="s">
        <v>14</v>
      </c>
      <c r="M91" s="20">
        <f>M92+M98</f>
        <v>766602.5</v>
      </c>
      <c r="N91" s="20">
        <f>N92+N98</f>
        <v>17174.900000000001</v>
      </c>
      <c r="O91" s="20">
        <f>O92+O98</f>
        <v>783777.4</v>
      </c>
      <c r="P91" s="20">
        <v>783777.4</v>
      </c>
      <c r="Q91" s="20">
        <f>Q92+Q98</f>
        <v>-21056.299999999988</v>
      </c>
      <c r="R91" s="20">
        <f>R92+R98</f>
        <v>762721.1</v>
      </c>
      <c r="S91" s="22"/>
      <c r="T91" s="42"/>
    </row>
    <row r="92" spans="1:20" ht="20.25" customHeight="1" x14ac:dyDescent="0.2">
      <c r="A92" s="8"/>
      <c r="B92" s="13"/>
      <c r="C92" s="81" t="s">
        <v>15</v>
      </c>
      <c r="D92" s="81"/>
      <c r="E92" s="81"/>
      <c r="F92" s="81"/>
      <c r="G92" s="81"/>
      <c r="H92" s="14" t="s">
        <v>176</v>
      </c>
      <c r="I92" s="15" t="s">
        <v>25</v>
      </c>
      <c r="J92" s="15" t="s">
        <v>16</v>
      </c>
      <c r="K92" s="15" t="s">
        <v>14</v>
      </c>
      <c r="L92" s="15" t="s">
        <v>14</v>
      </c>
      <c r="M92" s="16">
        <f>M93+M94+M95+M96+M97</f>
        <v>432602.49999999994</v>
      </c>
      <c r="N92" s="16">
        <f>N93+N94+N95+N96+N97</f>
        <v>17174.900000000001</v>
      </c>
      <c r="O92" s="16">
        <f>O93+O94+O95+O96+O97</f>
        <v>449777.4</v>
      </c>
      <c r="P92" s="16">
        <v>449777.4</v>
      </c>
      <c r="Q92" s="16">
        <f>Q93+Q94+Q95+Q96+Q97</f>
        <v>-86832.099999999991</v>
      </c>
      <c r="R92" s="16">
        <f>R93+R94+R95+R96+R97</f>
        <v>362945.3</v>
      </c>
      <c r="S92" s="22"/>
      <c r="T92" s="42"/>
    </row>
    <row r="93" spans="1:20" ht="328.5" customHeight="1" x14ac:dyDescent="0.2">
      <c r="A93" s="8"/>
      <c r="B93" s="18"/>
      <c r="C93" s="19"/>
      <c r="D93" s="81" t="s">
        <v>177</v>
      </c>
      <c r="E93" s="81"/>
      <c r="F93" s="81"/>
      <c r="G93" s="81"/>
      <c r="H93" s="14" t="s">
        <v>178</v>
      </c>
      <c r="I93" s="15" t="s">
        <v>25</v>
      </c>
      <c r="J93" s="15" t="s">
        <v>16</v>
      </c>
      <c r="K93" s="15" t="s">
        <v>19</v>
      </c>
      <c r="L93" s="15" t="s">
        <v>14</v>
      </c>
      <c r="M93" s="16">
        <v>189951.9</v>
      </c>
      <c r="N93" s="16">
        <f>-8381.7-1393-599.8-599.3-445-360.9-604.3-596.2-0.1</f>
        <v>-12980.3</v>
      </c>
      <c r="O93" s="16">
        <f t="shared" ref="O93:O97" si="30">M93+N93</f>
        <v>176971.6</v>
      </c>
      <c r="P93" s="16">
        <v>176971.6</v>
      </c>
      <c r="Q93" s="16">
        <f>-60000+258.6-228.3-37707.6+11795.2-22292.4+599.3-1139.2-0.9+415</f>
        <v>-108300.29999999999</v>
      </c>
      <c r="R93" s="16">
        <f t="shared" ref="R93:R97" si="31">P93+Q93</f>
        <v>68671.300000000017</v>
      </c>
      <c r="S93" s="22" t="s">
        <v>420</v>
      </c>
      <c r="T93" s="42"/>
    </row>
    <row r="94" spans="1:20" ht="30" customHeight="1" x14ac:dyDescent="0.2">
      <c r="A94" s="8"/>
      <c r="B94" s="18"/>
      <c r="C94" s="19"/>
      <c r="D94" s="81" t="s">
        <v>179</v>
      </c>
      <c r="E94" s="81"/>
      <c r="F94" s="81"/>
      <c r="G94" s="81"/>
      <c r="H94" s="14" t="s">
        <v>180</v>
      </c>
      <c r="I94" s="15" t="s">
        <v>25</v>
      </c>
      <c r="J94" s="15" t="s">
        <v>16</v>
      </c>
      <c r="K94" s="15" t="s">
        <v>22</v>
      </c>
      <c r="L94" s="15" t="s">
        <v>14</v>
      </c>
      <c r="M94" s="16">
        <v>26194.400000000001</v>
      </c>
      <c r="N94" s="16"/>
      <c r="O94" s="16">
        <f t="shared" si="30"/>
        <v>26194.400000000001</v>
      </c>
      <c r="P94" s="16">
        <v>26194.400000000001</v>
      </c>
      <c r="Q94" s="16"/>
      <c r="R94" s="16">
        <f t="shared" si="31"/>
        <v>26194.400000000001</v>
      </c>
      <c r="S94" s="22"/>
      <c r="T94" s="42"/>
    </row>
    <row r="95" spans="1:20" ht="90" customHeight="1" x14ac:dyDescent="0.2">
      <c r="A95" s="8"/>
      <c r="B95" s="18"/>
      <c r="C95" s="19"/>
      <c r="D95" s="81" t="s">
        <v>181</v>
      </c>
      <c r="E95" s="81"/>
      <c r="F95" s="81"/>
      <c r="G95" s="81"/>
      <c r="H95" s="14" t="s">
        <v>182</v>
      </c>
      <c r="I95" s="15" t="s">
        <v>25</v>
      </c>
      <c r="J95" s="15" t="s">
        <v>16</v>
      </c>
      <c r="K95" s="15" t="s">
        <v>25</v>
      </c>
      <c r="L95" s="15" t="s">
        <v>14</v>
      </c>
      <c r="M95" s="16">
        <v>9898.4</v>
      </c>
      <c r="N95" s="16"/>
      <c r="O95" s="16">
        <f t="shared" si="30"/>
        <v>9898.4</v>
      </c>
      <c r="P95" s="16">
        <v>9898.4</v>
      </c>
      <c r="Q95" s="16"/>
      <c r="R95" s="16">
        <f t="shared" si="31"/>
        <v>9898.4</v>
      </c>
      <c r="S95" s="22"/>
      <c r="T95" s="42"/>
    </row>
    <row r="96" spans="1:20" ht="53.25" customHeight="1" x14ac:dyDescent="0.2">
      <c r="A96" s="8"/>
      <c r="B96" s="18"/>
      <c r="C96" s="19"/>
      <c r="D96" s="81" t="s">
        <v>183</v>
      </c>
      <c r="E96" s="81"/>
      <c r="F96" s="81"/>
      <c r="G96" s="81"/>
      <c r="H96" s="14" t="s">
        <v>184</v>
      </c>
      <c r="I96" s="15" t="s">
        <v>25</v>
      </c>
      <c r="J96" s="15" t="s">
        <v>16</v>
      </c>
      <c r="K96" s="15" t="s">
        <v>28</v>
      </c>
      <c r="L96" s="15" t="s">
        <v>14</v>
      </c>
      <c r="M96" s="16">
        <v>180000</v>
      </c>
      <c r="N96" s="16">
        <f>13782.1-800-5021.5+3038.9+22000</f>
        <v>32999.5</v>
      </c>
      <c r="O96" s="16">
        <f t="shared" si="30"/>
        <v>212999.5</v>
      </c>
      <c r="P96" s="16">
        <v>212999.5</v>
      </c>
      <c r="Q96" s="16">
        <f>2179.1+70.3+23399.1</f>
        <v>25648.5</v>
      </c>
      <c r="R96" s="16">
        <f t="shared" si="31"/>
        <v>238648</v>
      </c>
      <c r="S96" s="22" t="s">
        <v>374</v>
      </c>
      <c r="T96" s="42"/>
    </row>
    <row r="97" spans="1:20" ht="152.25" customHeight="1" x14ac:dyDescent="0.2">
      <c r="A97" s="8"/>
      <c r="B97" s="18"/>
      <c r="C97" s="19"/>
      <c r="D97" s="84" t="s">
        <v>185</v>
      </c>
      <c r="E97" s="84"/>
      <c r="F97" s="84"/>
      <c r="G97" s="84"/>
      <c r="H97" s="14" t="s">
        <v>186</v>
      </c>
      <c r="I97" s="15" t="s">
        <v>25</v>
      </c>
      <c r="J97" s="15" t="s">
        <v>16</v>
      </c>
      <c r="K97" s="15" t="s">
        <v>63</v>
      </c>
      <c r="L97" s="15" t="s">
        <v>14</v>
      </c>
      <c r="M97" s="16">
        <v>26557.8</v>
      </c>
      <c r="N97" s="16">
        <f>3038.9-5400.4-36+1393+599.3+599.8-3038.9</f>
        <v>-2844.2999999999997</v>
      </c>
      <c r="O97" s="16">
        <f t="shared" si="30"/>
        <v>23713.5</v>
      </c>
      <c r="P97" s="16">
        <v>23713.5</v>
      </c>
      <c r="Q97" s="16">
        <f>-2487+992.1-198.4-2487</f>
        <v>-4180.3</v>
      </c>
      <c r="R97" s="16">
        <f t="shared" si="31"/>
        <v>19533.2</v>
      </c>
      <c r="S97" s="26" t="s">
        <v>373</v>
      </c>
      <c r="T97" s="42"/>
    </row>
    <row r="98" spans="1:20" ht="32.25" customHeight="1" x14ac:dyDescent="0.2">
      <c r="A98" s="8"/>
      <c r="B98" s="13"/>
      <c r="C98" s="81" t="s">
        <v>187</v>
      </c>
      <c r="D98" s="81"/>
      <c r="E98" s="81"/>
      <c r="F98" s="81"/>
      <c r="G98" s="81"/>
      <c r="H98" s="14" t="s">
        <v>188</v>
      </c>
      <c r="I98" s="15" t="s">
        <v>25</v>
      </c>
      <c r="J98" s="15" t="s">
        <v>189</v>
      </c>
      <c r="K98" s="15" t="s">
        <v>14</v>
      </c>
      <c r="L98" s="15" t="s">
        <v>14</v>
      </c>
      <c r="M98" s="16">
        <f>M99</f>
        <v>334000</v>
      </c>
      <c r="N98" s="16">
        <f>N99</f>
        <v>0</v>
      </c>
      <c r="O98" s="16">
        <f>O99</f>
        <v>334000</v>
      </c>
      <c r="P98" s="16">
        <v>334000</v>
      </c>
      <c r="Q98" s="16">
        <f>Q99</f>
        <v>65775.8</v>
      </c>
      <c r="R98" s="16">
        <f>R99</f>
        <v>399775.8</v>
      </c>
      <c r="S98" s="22"/>
      <c r="T98" s="42"/>
    </row>
    <row r="99" spans="1:20" ht="69.75" customHeight="1" x14ac:dyDescent="0.2">
      <c r="A99" s="8"/>
      <c r="B99" s="18"/>
      <c r="C99" s="19"/>
      <c r="D99" s="81" t="s">
        <v>190</v>
      </c>
      <c r="E99" s="81"/>
      <c r="F99" s="81"/>
      <c r="G99" s="81"/>
      <c r="H99" s="14" t="s">
        <v>188</v>
      </c>
      <c r="I99" s="15" t="s">
        <v>25</v>
      </c>
      <c r="J99" s="15" t="s">
        <v>189</v>
      </c>
      <c r="K99" s="15" t="s">
        <v>31</v>
      </c>
      <c r="L99" s="15" t="s">
        <v>14</v>
      </c>
      <c r="M99" s="16">
        <v>334000</v>
      </c>
      <c r="N99" s="16"/>
      <c r="O99" s="16">
        <f>M99+N99</f>
        <v>334000</v>
      </c>
      <c r="P99" s="16">
        <v>334000</v>
      </c>
      <c r="Q99" s="16">
        <f>62487+3288.8</f>
        <v>65775.8</v>
      </c>
      <c r="R99" s="16">
        <f>P99+Q99</f>
        <v>399775.8</v>
      </c>
      <c r="S99" s="26" t="s">
        <v>372</v>
      </c>
      <c r="T99" s="42"/>
    </row>
    <row r="100" spans="1:20" ht="37.5" customHeight="1" x14ac:dyDescent="0.2">
      <c r="A100" s="8"/>
      <c r="B100" s="82" t="s">
        <v>191</v>
      </c>
      <c r="C100" s="82"/>
      <c r="D100" s="82"/>
      <c r="E100" s="82"/>
      <c r="F100" s="82"/>
      <c r="G100" s="82"/>
      <c r="H100" s="14" t="s">
        <v>192</v>
      </c>
      <c r="I100" s="10" t="s">
        <v>28</v>
      </c>
      <c r="J100" s="10" t="s">
        <v>14</v>
      </c>
      <c r="K100" s="10" t="s">
        <v>14</v>
      </c>
      <c r="L100" s="10" t="s">
        <v>14</v>
      </c>
      <c r="M100" s="20">
        <f>M101+M103</f>
        <v>456601.39999999991</v>
      </c>
      <c r="N100" s="20">
        <f>N101+N103</f>
        <v>112675.59999999999</v>
      </c>
      <c r="O100" s="20">
        <f>O101+O103</f>
        <v>569276.99999999988</v>
      </c>
      <c r="P100" s="20">
        <v>569276.99999999988</v>
      </c>
      <c r="Q100" s="20">
        <f>Q101+Q103</f>
        <v>115194.1</v>
      </c>
      <c r="R100" s="20">
        <f>R101+R103</f>
        <v>684471.1</v>
      </c>
      <c r="S100" s="22"/>
      <c r="T100" s="42"/>
    </row>
    <row r="101" spans="1:20" ht="21.75" customHeight="1" x14ac:dyDescent="0.2">
      <c r="A101" s="8"/>
      <c r="B101" s="13"/>
      <c r="C101" s="81" t="s">
        <v>77</v>
      </c>
      <c r="D101" s="81"/>
      <c r="E101" s="81"/>
      <c r="F101" s="81"/>
      <c r="G101" s="81"/>
      <c r="H101" s="14" t="s">
        <v>193</v>
      </c>
      <c r="I101" s="15" t="s">
        <v>28</v>
      </c>
      <c r="J101" s="15" t="s">
        <v>45</v>
      </c>
      <c r="K101" s="15" t="s">
        <v>14</v>
      </c>
      <c r="L101" s="15" t="s">
        <v>14</v>
      </c>
      <c r="M101" s="16">
        <f>M102</f>
        <v>67580.399999999994</v>
      </c>
      <c r="N101" s="16">
        <f>N102</f>
        <v>0</v>
      </c>
      <c r="O101" s="16">
        <f>O102</f>
        <v>67580.399999999994</v>
      </c>
      <c r="P101" s="16">
        <v>67580.399999999994</v>
      </c>
      <c r="Q101" s="16">
        <f>Q102</f>
        <v>-67580.399999999994</v>
      </c>
      <c r="R101" s="16">
        <f>R102</f>
        <v>0</v>
      </c>
      <c r="S101" s="22"/>
      <c r="T101" s="42"/>
    </row>
    <row r="102" spans="1:20" ht="116.25" customHeight="1" x14ac:dyDescent="0.2">
      <c r="A102" s="8"/>
      <c r="B102" s="18"/>
      <c r="C102" s="19"/>
      <c r="D102" s="81" t="s">
        <v>194</v>
      </c>
      <c r="E102" s="81"/>
      <c r="F102" s="81"/>
      <c r="G102" s="81"/>
      <c r="H102" s="14" t="s">
        <v>193</v>
      </c>
      <c r="I102" s="15" t="s">
        <v>28</v>
      </c>
      <c r="J102" s="15" t="s">
        <v>45</v>
      </c>
      <c r="K102" s="15" t="s">
        <v>195</v>
      </c>
      <c r="L102" s="15" t="s">
        <v>14</v>
      </c>
      <c r="M102" s="16">
        <v>67580.399999999994</v>
      </c>
      <c r="N102" s="16"/>
      <c r="O102" s="16">
        <f>M102+N102</f>
        <v>67580.399999999994</v>
      </c>
      <c r="P102" s="16">
        <v>67580.399999999994</v>
      </c>
      <c r="Q102" s="16">
        <f>-21526.2-7553-28364-5131.7-5005.5</f>
        <v>-67580.399999999994</v>
      </c>
      <c r="R102" s="16">
        <f>P102+Q102</f>
        <v>0</v>
      </c>
      <c r="S102" s="26" t="s">
        <v>381</v>
      </c>
      <c r="T102" s="42"/>
    </row>
    <row r="103" spans="1:20" ht="24" customHeight="1" x14ac:dyDescent="0.2">
      <c r="A103" s="8"/>
      <c r="B103" s="13"/>
      <c r="C103" s="81" t="s">
        <v>15</v>
      </c>
      <c r="D103" s="81"/>
      <c r="E103" s="81"/>
      <c r="F103" s="81"/>
      <c r="G103" s="81"/>
      <c r="H103" s="14" t="s">
        <v>196</v>
      </c>
      <c r="I103" s="15" t="s">
        <v>28</v>
      </c>
      <c r="J103" s="15" t="s">
        <v>16</v>
      </c>
      <c r="K103" s="15" t="s">
        <v>14</v>
      </c>
      <c r="L103" s="15" t="s">
        <v>14</v>
      </c>
      <c r="M103" s="16">
        <f>M104+M105+M106+M107+M108+M109+M110+M111+M112</f>
        <v>389020.99999999994</v>
      </c>
      <c r="N103" s="16">
        <f>N104+N105+N106+N107+N108+N109+N110+N111+N112</f>
        <v>112675.59999999999</v>
      </c>
      <c r="O103" s="16">
        <f>O104+O105+O106+O107+O108+O109+O110+O111+O112</f>
        <v>501696.59999999992</v>
      </c>
      <c r="P103" s="16">
        <v>501696.59999999992</v>
      </c>
      <c r="Q103" s="16">
        <f>Q104+Q105+Q106+Q107+Q108+Q109+Q110+Q111+Q112</f>
        <v>182774.5</v>
      </c>
      <c r="R103" s="16">
        <f>R104+R105+R106+R107+R108+R109+R110+R111+R112</f>
        <v>684471.1</v>
      </c>
      <c r="S103" s="22"/>
      <c r="T103" s="42"/>
    </row>
    <row r="104" spans="1:20" ht="54" customHeight="1" x14ac:dyDescent="0.2">
      <c r="A104" s="8"/>
      <c r="B104" s="18"/>
      <c r="C104" s="19"/>
      <c r="D104" s="81" t="s">
        <v>197</v>
      </c>
      <c r="E104" s="81"/>
      <c r="F104" s="81"/>
      <c r="G104" s="81"/>
      <c r="H104" s="14" t="s">
        <v>198</v>
      </c>
      <c r="I104" s="15" t="s">
        <v>28</v>
      </c>
      <c r="J104" s="15" t="s">
        <v>16</v>
      </c>
      <c r="K104" s="15" t="s">
        <v>19</v>
      </c>
      <c r="L104" s="15" t="s">
        <v>14</v>
      </c>
      <c r="M104" s="16">
        <v>2839.1</v>
      </c>
      <c r="N104" s="16">
        <v>2553.5</v>
      </c>
      <c r="O104" s="16">
        <f t="shared" ref="O104:O112" si="32">M104+N104</f>
        <v>5392.6</v>
      </c>
      <c r="P104" s="16">
        <v>5392.6</v>
      </c>
      <c r="Q104" s="16"/>
      <c r="R104" s="16">
        <f t="shared" ref="R104:R112" si="33">P104+Q104</f>
        <v>5392.6</v>
      </c>
      <c r="S104" s="22"/>
      <c r="T104" s="42"/>
    </row>
    <row r="105" spans="1:20" ht="297" customHeight="1" x14ac:dyDescent="0.2">
      <c r="A105" s="8"/>
      <c r="B105" s="18"/>
      <c r="C105" s="19"/>
      <c r="D105" s="81" t="s">
        <v>199</v>
      </c>
      <c r="E105" s="81"/>
      <c r="F105" s="81"/>
      <c r="G105" s="81"/>
      <c r="H105" s="14" t="s">
        <v>200</v>
      </c>
      <c r="I105" s="15" t="s">
        <v>28</v>
      </c>
      <c r="J105" s="15" t="s">
        <v>16</v>
      </c>
      <c r="K105" s="15" t="s">
        <v>22</v>
      </c>
      <c r="L105" s="15" t="s">
        <v>14</v>
      </c>
      <c r="M105" s="16">
        <v>77338.399999999994</v>
      </c>
      <c r="N105" s="16">
        <f>-295.5+5021.5-1400+600+596.2+445</f>
        <v>4967.2</v>
      </c>
      <c r="O105" s="16">
        <f t="shared" si="32"/>
        <v>82305.599999999991</v>
      </c>
      <c r="P105" s="16">
        <v>82305.599999999991</v>
      </c>
      <c r="Q105" s="16">
        <f>1719+267.9+2192.3+1199+923.4-3650.1-412.1+599+1390.3-11.1+14650</f>
        <v>18867.599999999999</v>
      </c>
      <c r="R105" s="16">
        <f t="shared" si="33"/>
        <v>101173.19999999998</v>
      </c>
      <c r="S105" s="26" t="s">
        <v>421</v>
      </c>
      <c r="T105" s="42"/>
    </row>
    <row r="106" spans="1:20" ht="144.75" customHeight="1" x14ac:dyDescent="0.2">
      <c r="A106" s="8"/>
      <c r="B106" s="18"/>
      <c r="C106" s="19"/>
      <c r="D106" s="81" t="s">
        <v>201</v>
      </c>
      <c r="E106" s="81"/>
      <c r="F106" s="81"/>
      <c r="G106" s="81"/>
      <c r="H106" s="14" t="s">
        <v>202</v>
      </c>
      <c r="I106" s="15" t="s">
        <v>28</v>
      </c>
      <c r="J106" s="15" t="s">
        <v>16</v>
      </c>
      <c r="K106" s="15" t="s">
        <v>25</v>
      </c>
      <c r="L106" s="15" t="s">
        <v>14</v>
      </c>
      <c r="M106" s="16">
        <v>20283.8</v>
      </c>
      <c r="N106" s="16"/>
      <c r="O106" s="16">
        <f t="shared" si="32"/>
        <v>20283.8</v>
      </c>
      <c r="P106" s="16">
        <v>20283.8</v>
      </c>
      <c r="Q106" s="16">
        <f>-599+595.4-1428-600-19.5-415</f>
        <v>-2466.1</v>
      </c>
      <c r="R106" s="16">
        <f t="shared" si="33"/>
        <v>17817.7</v>
      </c>
      <c r="S106" s="26" t="s">
        <v>402</v>
      </c>
      <c r="T106" s="42"/>
    </row>
    <row r="107" spans="1:20" ht="37.5" customHeight="1" x14ac:dyDescent="0.2">
      <c r="A107" s="8"/>
      <c r="B107" s="18"/>
      <c r="C107" s="19"/>
      <c r="D107" s="81" t="s">
        <v>203</v>
      </c>
      <c r="E107" s="81"/>
      <c r="F107" s="81"/>
      <c r="G107" s="81"/>
      <c r="H107" s="14" t="s">
        <v>204</v>
      </c>
      <c r="I107" s="15" t="s">
        <v>28</v>
      </c>
      <c r="J107" s="15" t="s">
        <v>16</v>
      </c>
      <c r="K107" s="15" t="s">
        <v>28</v>
      </c>
      <c r="L107" s="15" t="s">
        <v>14</v>
      </c>
      <c r="M107" s="16">
        <v>245094</v>
      </c>
      <c r="N107" s="16"/>
      <c r="O107" s="16">
        <f t="shared" si="32"/>
        <v>245094</v>
      </c>
      <c r="P107" s="16">
        <v>245094</v>
      </c>
      <c r="Q107" s="16">
        <f>-2700.7-400</f>
        <v>-3100.7</v>
      </c>
      <c r="R107" s="16">
        <f t="shared" si="33"/>
        <v>241993.3</v>
      </c>
      <c r="S107" s="22" t="s">
        <v>376</v>
      </c>
      <c r="T107" s="42"/>
    </row>
    <row r="108" spans="1:20" ht="48" customHeight="1" x14ac:dyDescent="0.2">
      <c r="A108" s="8"/>
      <c r="B108" s="18"/>
      <c r="C108" s="19"/>
      <c r="D108" s="81" t="s">
        <v>205</v>
      </c>
      <c r="E108" s="81"/>
      <c r="F108" s="81"/>
      <c r="G108" s="81"/>
      <c r="H108" s="14" t="s">
        <v>206</v>
      </c>
      <c r="I108" s="15" t="s">
        <v>28</v>
      </c>
      <c r="J108" s="15" t="s">
        <v>16</v>
      </c>
      <c r="K108" s="15" t="s">
        <v>63</v>
      </c>
      <c r="L108" s="15" t="s">
        <v>14</v>
      </c>
      <c r="M108" s="16">
        <v>4513.3</v>
      </c>
      <c r="N108" s="16"/>
      <c r="O108" s="16">
        <f t="shared" si="32"/>
        <v>4513.3</v>
      </c>
      <c r="P108" s="16">
        <v>4513.3</v>
      </c>
      <c r="Q108" s="16">
        <f>-301.8</f>
        <v>-301.8</v>
      </c>
      <c r="R108" s="16">
        <f t="shared" si="33"/>
        <v>4211.5</v>
      </c>
      <c r="S108" s="26" t="s">
        <v>207</v>
      </c>
      <c r="T108" s="42"/>
    </row>
    <row r="109" spans="1:20" ht="62.25" customHeight="1" x14ac:dyDescent="0.2">
      <c r="A109" s="8"/>
      <c r="B109" s="18"/>
      <c r="C109" s="19"/>
      <c r="D109" s="43"/>
      <c r="E109" s="43"/>
      <c r="F109" s="43"/>
      <c r="G109" s="43" t="s">
        <v>208</v>
      </c>
      <c r="H109" s="14"/>
      <c r="I109" s="15" t="s">
        <v>28</v>
      </c>
      <c r="J109" s="15" t="s">
        <v>16</v>
      </c>
      <c r="K109" s="15">
        <v>16</v>
      </c>
      <c r="L109" s="15"/>
      <c r="M109" s="16">
        <v>0</v>
      </c>
      <c r="N109" s="16">
        <v>105154.9</v>
      </c>
      <c r="O109" s="16">
        <f t="shared" si="32"/>
        <v>105154.9</v>
      </c>
      <c r="P109" s="16">
        <v>105154.9</v>
      </c>
      <c r="Q109" s="16">
        <v>170000</v>
      </c>
      <c r="R109" s="16">
        <f t="shared" si="33"/>
        <v>275154.90000000002</v>
      </c>
      <c r="S109" s="22" t="s">
        <v>353</v>
      </c>
      <c r="T109" s="42"/>
    </row>
    <row r="110" spans="1:20" ht="60.75" customHeight="1" x14ac:dyDescent="0.2">
      <c r="A110" s="8"/>
      <c r="B110" s="18"/>
      <c r="C110" s="19"/>
      <c r="D110" s="81" t="s">
        <v>209</v>
      </c>
      <c r="E110" s="81"/>
      <c r="F110" s="81"/>
      <c r="G110" s="81"/>
      <c r="H110" s="14" t="s">
        <v>210</v>
      </c>
      <c r="I110" s="15" t="s">
        <v>28</v>
      </c>
      <c r="J110" s="15" t="s">
        <v>16</v>
      </c>
      <c r="K110" s="15" t="s">
        <v>107</v>
      </c>
      <c r="L110" s="15" t="s">
        <v>14</v>
      </c>
      <c r="M110" s="16">
        <v>35502.1</v>
      </c>
      <c r="N110" s="16"/>
      <c r="O110" s="16">
        <f t="shared" si="32"/>
        <v>35502.1</v>
      </c>
      <c r="P110" s="16">
        <v>35502.1</v>
      </c>
      <c r="Q110" s="16"/>
      <c r="R110" s="16">
        <f t="shared" si="33"/>
        <v>35502.1</v>
      </c>
      <c r="S110" s="22"/>
      <c r="T110" s="42"/>
    </row>
    <row r="111" spans="1:20" ht="20.25" customHeight="1" x14ac:dyDescent="0.2">
      <c r="A111" s="8"/>
      <c r="B111" s="18"/>
      <c r="C111" s="19"/>
      <c r="D111" s="81" t="s">
        <v>211</v>
      </c>
      <c r="E111" s="81"/>
      <c r="F111" s="81"/>
      <c r="G111" s="81"/>
      <c r="H111" s="14" t="s">
        <v>212</v>
      </c>
      <c r="I111" s="15" t="s">
        <v>28</v>
      </c>
      <c r="J111" s="15" t="s">
        <v>16</v>
      </c>
      <c r="K111" s="15" t="s">
        <v>110</v>
      </c>
      <c r="L111" s="15" t="s">
        <v>14</v>
      </c>
      <c r="M111" s="16">
        <v>150.30000000000001</v>
      </c>
      <c r="N111" s="16"/>
      <c r="O111" s="16">
        <f t="shared" si="32"/>
        <v>150.30000000000001</v>
      </c>
      <c r="P111" s="16">
        <v>150.30000000000001</v>
      </c>
      <c r="Q111" s="16"/>
      <c r="R111" s="16">
        <f t="shared" si="33"/>
        <v>150.30000000000001</v>
      </c>
      <c r="S111" s="22"/>
      <c r="T111" s="42"/>
    </row>
    <row r="112" spans="1:20" ht="62.25" customHeight="1" x14ac:dyDescent="0.2">
      <c r="A112" s="8"/>
      <c r="B112" s="18"/>
      <c r="C112" s="19"/>
      <c r="D112" s="81" t="s">
        <v>213</v>
      </c>
      <c r="E112" s="81"/>
      <c r="F112" s="81"/>
      <c r="G112" s="81"/>
      <c r="H112" s="14" t="s">
        <v>214</v>
      </c>
      <c r="I112" s="15" t="s">
        <v>28</v>
      </c>
      <c r="J112" s="15" t="s">
        <v>16</v>
      </c>
      <c r="K112" s="15" t="s">
        <v>215</v>
      </c>
      <c r="L112" s="15" t="s">
        <v>14</v>
      </c>
      <c r="M112" s="16">
        <v>3300</v>
      </c>
      <c r="N112" s="16"/>
      <c r="O112" s="16">
        <f t="shared" si="32"/>
        <v>3300</v>
      </c>
      <c r="P112" s="16">
        <v>3300</v>
      </c>
      <c r="Q112" s="16">
        <f>-156-68.5</f>
        <v>-224.5</v>
      </c>
      <c r="R112" s="16">
        <f t="shared" si="33"/>
        <v>3075.5</v>
      </c>
      <c r="S112" s="22" t="s">
        <v>403</v>
      </c>
      <c r="T112" s="42"/>
    </row>
    <row r="113" spans="1:20" ht="30" customHeight="1" x14ac:dyDescent="0.2">
      <c r="A113" s="8"/>
      <c r="B113" s="82" t="s">
        <v>216</v>
      </c>
      <c r="C113" s="82"/>
      <c r="D113" s="82"/>
      <c r="E113" s="82"/>
      <c r="F113" s="82"/>
      <c r="G113" s="82"/>
      <c r="H113" s="23" t="s">
        <v>217</v>
      </c>
      <c r="I113" s="10" t="s">
        <v>63</v>
      </c>
      <c r="J113" s="10" t="s">
        <v>14</v>
      </c>
      <c r="K113" s="10" t="s">
        <v>14</v>
      </c>
      <c r="L113" s="10" t="s">
        <v>14</v>
      </c>
      <c r="M113" s="20">
        <f>M114</f>
        <v>10646.4</v>
      </c>
      <c r="N113" s="20">
        <f>N114</f>
        <v>0</v>
      </c>
      <c r="O113" s="20">
        <f>O114</f>
        <v>10646.4</v>
      </c>
      <c r="P113" s="20">
        <v>10646.4</v>
      </c>
      <c r="Q113" s="20">
        <f>Q114</f>
        <v>0</v>
      </c>
      <c r="R113" s="20">
        <f>R114</f>
        <v>10646.4</v>
      </c>
      <c r="S113" s="21"/>
      <c r="T113" s="42"/>
    </row>
    <row r="114" spans="1:20" ht="21" customHeight="1" x14ac:dyDescent="0.2">
      <c r="A114" s="8"/>
      <c r="B114" s="13"/>
      <c r="C114" s="81" t="s">
        <v>15</v>
      </c>
      <c r="D114" s="81"/>
      <c r="E114" s="81"/>
      <c r="F114" s="81"/>
      <c r="G114" s="81"/>
      <c r="H114" s="14" t="s">
        <v>217</v>
      </c>
      <c r="I114" s="15" t="s">
        <v>63</v>
      </c>
      <c r="J114" s="15" t="s">
        <v>16</v>
      </c>
      <c r="K114" s="15" t="s">
        <v>14</v>
      </c>
      <c r="L114" s="15" t="s">
        <v>14</v>
      </c>
      <c r="M114" s="16">
        <f>M115+M116</f>
        <v>10646.4</v>
      </c>
      <c r="N114" s="16">
        <f>N115+N116</f>
        <v>0</v>
      </c>
      <c r="O114" s="16">
        <f>O115+O116</f>
        <v>10646.4</v>
      </c>
      <c r="P114" s="16">
        <v>10646.4</v>
      </c>
      <c r="Q114" s="16">
        <f>Q115+Q116</f>
        <v>0</v>
      </c>
      <c r="R114" s="16">
        <f>R115+R116</f>
        <v>10646.4</v>
      </c>
      <c r="S114" s="17"/>
      <c r="T114" s="42"/>
    </row>
    <row r="115" spans="1:20" ht="30.75" customHeight="1" x14ac:dyDescent="0.2">
      <c r="A115" s="8"/>
      <c r="B115" s="18"/>
      <c r="C115" s="19"/>
      <c r="D115" s="81" t="s">
        <v>218</v>
      </c>
      <c r="E115" s="81"/>
      <c r="F115" s="81"/>
      <c r="G115" s="81"/>
      <c r="H115" s="14" t="s">
        <v>219</v>
      </c>
      <c r="I115" s="15" t="s">
        <v>63</v>
      </c>
      <c r="J115" s="15" t="s">
        <v>16</v>
      </c>
      <c r="K115" s="15" t="s">
        <v>19</v>
      </c>
      <c r="L115" s="15" t="s">
        <v>14</v>
      </c>
      <c r="M115" s="16">
        <v>3268.9</v>
      </c>
      <c r="N115" s="16"/>
      <c r="O115" s="16">
        <f t="shared" ref="O115:O116" si="34">M115+N115</f>
        <v>3268.9</v>
      </c>
      <c r="P115" s="16">
        <v>3268.9</v>
      </c>
      <c r="Q115" s="16"/>
      <c r="R115" s="16">
        <f t="shared" ref="R115:R116" si="35">P115+Q115</f>
        <v>3268.9</v>
      </c>
      <c r="S115" s="17"/>
      <c r="T115" s="42"/>
    </row>
    <row r="116" spans="1:20" ht="39" customHeight="1" x14ac:dyDescent="0.2">
      <c r="A116" s="8"/>
      <c r="B116" s="18"/>
      <c r="C116" s="19"/>
      <c r="D116" s="81" t="s">
        <v>220</v>
      </c>
      <c r="E116" s="81"/>
      <c r="F116" s="81"/>
      <c r="G116" s="81"/>
      <c r="H116" s="14" t="s">
        <v>221</v>
      </c>
      <c r="I116" s="15" t="s">
        <v>63</v>
      </c>
      <c r="J116" s="15" t="s">
        <v>16</v>
      </c>
      <c r="K116" s="15" t="s">
        <v>25</v>
      </c>
      <c r="L116" s="15" t="s">
        <v>14</v>
      </c>
      <c r="M116" s="16">
        <v>7377.5</v>
      </c>
      <c r="N116" s="16"/>
      <c r="O116" s="16">
        <f t="shared" si="34"/>
        <v>7377.5</v>
      </c>
      <c r="P116" s="16">
        <v>7377.5</v>
      </c>
      <c r="Q116" s="16"/>
      <c r="R116" s="16">
        <f t="shared" si="35"/>
        <v>7377.5</v>
      </c>
      <c r="S116" s="17"/>
      <c r="T116" s="42"/>
    </row>
    <row r="117" spans="1:20" ht="34.5" customHeight="1" x14ac:dyDescent="0.2">
      <c r="A117" s="8"/>
      <c r="B117" s="82" t="s">
        <v>222</v>
      </c>
      <c r="C117" s="82"/>
      <c r="D117" s="82"/>
      <c r="E117" s="82"/>
      <c r="F117" s="82"/>
      <c r="G117" s="82"/>
      <c r="H117" s="23" t="s">
        <v>223</v>
      </c>
      <c r="I117" s="10" t="s">
        <v>66</v>
      </c>
      <c r="J117" s="10" t="s">
        <v>14</v>
      </c>
      <c r="K117" s="10" t="s">
        <v>14</v>
      </c>
      <c r="L117" s="10" t="s">
        <v>14</v>
      </c>
      <c r="M117" s="20">
        <f>M118</f>
        <v>16275.8</v>
      </c>
      <c r="N117" s="20">
        <f>N118</f>
        <v>-66.900000000000006</v>
      </c>
      <c r="O117" s="20">
        <f>O118</f>
        <v>16208.9</v>
      </c>
      <c r="P117" s="20">
        <v>16208.9</v>
      </c>
      <c r="Q117" s="20">
        <f>Q118</f>
        <v>0</v>
      </c>
      <c r="R117" s="20">
        <f>R118</f>
        <v>16208.899999999998</v>
      </c>
      <c r="S117" s="21"/>
      <c r="T117" s="42"/>
    </row>
    <row r="118" spans="1:20" ht="18.75" customHeight="1" x14ac:dyDescent="0.2">
      <c r="A118" s="8"/>
      <c r="B118" s="13"/>
      <c r="C118" s="81" t="s">
        <v>224</v>
      </c>
      <c r="D118" s="81"/>
      <c r="E118" s="81"/>
      <c r="F118" s="81"/>
      <c r="G118" s="81"/>
      <c r="H118" s="14" t="s">
        <v>223</v>
      </c>
      <c r="I118" s="15" t="s">
        <v>66</v>
      </c>
      <c r="J118" s="15" t="s">
        <v>16</v>
      </c>
      <c r="K118" s="15" t="s">
        <v>14</v>
      </c>
      <c r="L118" s="15" t="s">
        <v>14</v>
      </c>
      <c r="M118" s="16">
        <f>M119+M120</f>
        <v>16275.8</v>
      </c>
      <c r="N118" s="16">
        <f>N119+N120</f>
        <v>-66.900000000000006</v>
      </c>
      <c r="O118" s="16">
        <f>O119+O120</f>
        <v>16208.9</v>
      </c>
      <c r="P118" s="16">
        <v>16208.9</v>
      </c>
      <c r="Q118" s="16">
        <f>Q119+Q120</f>
        <v>0</v>
      </c>
      <c r="R118" s="16">
        <f>R119+R120</f>
        <v>16208.899999999998</v>
      </c>
      <c r="S118" s="17"/>
      <c r="T118" s="42"/>
    </row>
    <row r="119" spans="1:20" ht="48.75" customHeight="1" x14ac:dyDescent="0.2">
      <c r="A119" s="8"/>
      <c r="B119" s="18"/>
      <c r="C119" s="19"/>
      <c r="D119" s="81" t="s">
        <v>225</v>
      </c>
      <c r="E119" s="81"/>
      <c r="F119" s="81"/>
      <c r="G119" s="81"/>
      <c r="H119" s="14" t="s">
        <v>226</v>
      </c>
      <c r="I119" s="15" t="s">
        <v>66</v>
      </c>
      <c r="J119" s="15" t="s">
        <v>16</v>
      </c>
      <c r="K119" s="15" t="s">
        <v>19</v>
      </c>
      <c r="L119" s="15" t="s">
        <v>14</v>
      </c>
      <c r="M119" s="16">
        <v>6300</v>
      </c>
      <c r="N119" s="16">
        <f>-36.9-30</f>
        <v>-66.900000000000006</v>
      </c>
      <c r="O119" s="16">
        <f t="shared" ref="O119:O120" si="36">M119+N119</f>
        <v>6233.1</v>
      </c>
      <c r="P119" s="16">
        <v>6233.1</v>
      </c>
      <c r="Q119" s="16">
        <f>-1972.8</f>
        <v>-1972.8</v>
      </c>
      <c r="R119" s="16">
        <f t="shared" ref="R119:R120" si="37">P119+Q119</f>
        <v>4260.3</v>
      </c>
      <c r="S119" s="49" t="s">
        <v>371</v>
      </c>
      <c r="T119" s="42"/>
    </row>
    <row r="120" spans="1:20" ht="48.75" customHeight="1" x14ac:dyDescent="0.2">
      <c r="A120" s="8"/>
      <c r="B120" s="18"/>
      <c r="C120" s="19"/>
      <c r="D120" s="81" t="s">
        <v>227</v>
      </c>
      <c r="E120" s="81"/>
      <c r="F120" s="81"/>
      <c r="G120" s="81"/>
      <c r="H120" s="14" t="s">
        <v>228</v>
      </c>
      <c r="I120" s="15" t="s">
        <v>66</v>
      </c>
      <c r="J120" s="15" t="s">
        <v>16</v>
      </c>
      <c r="K120" s="15" t="s">
        <v>22</v>
      </c>
      <c r="L120" s="15" t="s">
        <v>14</v>
      </c>
      <c r="M120" s="16">
        <v>9975.7999999999993</v>
      </c>
      <c r="N120" s="16"/>
      <c r="O120" s="16">
        <f t="shared" si="36"/>
        <v>9975.7999999999993</v>
      </c>
      <c r="P120" s="16">
        <v>9975.7999999999993</v>
      </c>
      <c r="Q120" s="16">
        <v>1972.8</v>
      </c>
      <c r="R120" s="16">
        <f t="shared" si="37"/>
        <v>11948.599999999999</v>
      </c>
      <c r="S120" s="49" t="s">
        <v>370</v>
      </c>
      <c r="T120" s="42"/>
    </row>
    <row r="121" spans="1:20" ht="33" customHeight="1" x14ac:dyDescent="0.2">
      <c r="A121" s="8"/>
      <c r="B121" s="82" t="s">
        <v>229</v>
      </c>
      <c r="C121" s="82"/>
      <c r="D121" s="82"/>
      <c r="E121" s="82"/>
      <c r="F121" s="82"/>
      <c r="G121" s="82"/>
      <c r="H121" s="14" t="s">
        <v>230</v>
      </c>
      <c r="I121" s="10" t="s">
        <v>107</v>
      </c>
      <c r="J121" s="10" t="s">
        <v>14</v>
      </c>
      <c r="K121" s="10" t="s">
        <v>14</v>
      </c>
      <c r="L121" s="10" t="s">
        <v>14</v>
      </c>
      <c r="M121" s="20">
        <f>M122</f>
        <v>1143.5</v>
      </c>
      <c r="N121" s="20">
        <f>N122</f>
        <v>576</v>
      </c>
      <c r="O121" s="20">
        <f>O122</f>
        <v>1719.5</v>
      </c>
      <c r="P121" s="20">
        <v>1719.5</v>
      </c>
      <c r="Q121" s="20">
        <f>Q122</f>
        <v>-172.4</v>
      </c>
      <c r="R121" s="20">
        <f>R122</f>
        <v>1547.1</v>
      </c>
      <c r="S121" s="21"/>
      <c r="T121" s="42"/>
    </row>
    <row r="122" spans="1:20" ht="19.5" customHeight="1" x14ac:dyDescent="0.2">
      <c r="A122" s="8"/>
      <c r="B122" s="13"/>
      <c r="C122" s="81" t="s">
        <v>15</v>
      </c>
      <c r="D122" s="81"/>
      <c r="E122" s="81"/>
      <c r="F122" s="81"/>
      <c r="G122" s="81"/>
      <c r="H122" s="14" t="s">
        <v>230</v>
      </c>
      <c r="I122" s="15" t="s">
        <v>107</v>
      </c>
      <c r="J122" s="15" t="s">
        <v>16</v>
      </c>
      <c r="K122" s="15" t="s">
        <v>14</v>
      </c>
      <c r="L122" s="15" t="s">
        <v>14</v>
      </c>
      <c r="M122" s="16">
        <f>M123+M124+M125+M126+M127+M128</f>
        <v>1143.5</v>
      </c>
      <c r="N122" s="16">
        <f>N123+N124+N125+N126+N127+N128</f>
        <v>576</v>
      </c>
      <c r="O122" s="16">
        <f>O123+O124+O125+O126+O127+O128</f>
        <v>1719.5</v>
      </c>
      <c r="P122" s="16">
        <v>1719.5</v>
      </c>
      <c r="Q122" s="16">
        <f>Q123+Q124+Q125+Q126+Q127+Q128</f>
        <v>-172.4</v>
      </c>
      <c r="R122" s="16">
        <f>R123+R124+R125+R126+R127+R128</f>
        <v>1547.1</v>
      </c>
      <c r="S122" s="17"/>
      <c r="T122" s="42"/>
    </row>
    <row r="123" spans="1:20" ht="43.5" customHeight="1" x14ac:dyDescent="0.2">
      <c r="A123" s="8"/>
      <c r="B123" s="18"/>
      <c r="C123" s="19"/>
      <c r="D123" s="81" t="s">
        <v>231</v>
      </c>
      <c r="E123" s="81"/>
      <c r="F123" s="81"/>
      <c r="G123" s="81"/>
      <c r="H123" s="14" t="s">
        <v>232</v>
      </c>
      <c r="I123" s="15" t="s">
        <v>107</v>
      </c>
      <c r="J123" s="15" t="s">
        <v>16</v>
      </c>
      <c r="K123" s="15" t="s">
        <v>19</v>
      </c>
      <c r="L123" s="15" t="s">
        <v>14</v>
      </c>
      <c r="M123" s="16">
        <v>391.5</v>
      </c>
      <c r="N123" s="16">
        <v>576</v>
      </c>
      <c r="O123" s="16">
        <f t="shared" ref="O123:O128" si="38">M123+N123</f>
        <v>967.5</v>
      </c>
      <c r="P123" s="16">
        <v>967.5</v>
      </c>
      <c r="Q123" s="16">
        <v>-576</v>
      </c>
      <c r="R123" s="16">
        <f t="shared" ref="R123:R128" si="39">P123+Q123</f>
        <v>391.5</v>
      </c>
      <c r="S123" s="22" t="s">
        <v>369</v>
      </c>
      <c r="T123" s="42"/>
    </row>
    <row r="124" spans="1:20" ht="35.25" customHeight="1" x14ac:dyDescent="0.2">
      <c r="A124" s="8"/>
      <c r="B124" s="18"/>
      <c r="C124" s="19"/>
      <c r="D124" s="81" t="s">
        <v>233</v>
      </c>
      <c r="E124" s="81"/>
      <c r="F124" s="81"/>
      <c r="G124" s="81"/>
      <c r="H124" s="14" t="s">
        <v>234</v>
      </c>
      <c r="I124" s="15" t="s">
        <v>107</v>
      </c>
      <c r="J124" s="15" t="s">
        <v>16</v>
      </c>
      <c r="K124" s="15" t="s">
        <v>22</v>
      </c>
      <c r="L124" s="15" t="s">
        <v>14</v>
      </c>
      <c r="M124" s="16">
        <v>180</v>
      </c>
      <c r="N124" s="16"/>
      <c r="O124" s="16">
        <f t="shared" si="38"/>
        <v>180</v>
      </c>
      <c r="P124" s="16">
        <v>180</v>
      </c>
      <c r="Q124" s="16">
        <v>576</v>
      </c>
      <c r="R124" s="16">
        <f t="shared" si="39"/>
        <v>756</v>
      </c>
      <c r="S124" s="22" t="s">
        <v>368</v>
      </c>
      <c r="T124" s="42"/>
    </row>
    <row r="125" spans="1:20" ht="21.75" customHeight="1" x14ac:dyDescent="0.2">
      <c r="A125" s="8"/>
      <c r="B125" s="18"/>
      <c r="C125" s="19"/>
      <c r="D125" s="81" t="s">
        <v>235</v>
      </c>
      <c r="E125" s="81"/>
      <c r="F125" s="81"/>
      <c r="G125" s="81"/>
      <c r="H125" s="14" t="s">
        <v>236</v>
      </c>
      <c r="I125" s="15" t="s">
        <v>107</v>
      </c>
      <c r="J125" s="15" t="s">
        <v>16</v>
      </c>
      <c r="K125" s="15" t="s">
        <v>25</v>
      </c>
      <c r="L125" s="15" t="s">
        <v>14</v>
      </c>
      <c r="M125" s="16">
        <v>270</v>
      </c>
      <c r="N125" s="16"/>
      <c r="O125" s="16">
        <f t="shared" si="38"/>
        <v>270</v>
      </c>
      <c r="P125" s="16">
        <v>270</v>
      </c>
      <c r="Q125" s="16"/>
      <c r="R125" s="16">
        <f t="shared" si="39"/>
        <v>270</v>
      </c>
      <c r="S125" s="17"/>
      <c r="T125" s="42"/>
    </row>
    <row r="126" spans="1:20" ht="29.25" customHeight="1" x14ac:dyDescent="0.2">
      <c r="A126" s="8"/>
      <c r="B126" s="18"/>
      <c r="C126" s="19"/>
      <c r="D126" s="81" t="s">
        <v>237</v>
      </c>
      <c r="E126" s="81"/>
      <c r="F126" s="81"/>
      <c r="G126" s="81"/>
      <c r="H126" s="14" t="s">
        <v>238</v>
      </c>
      <c r="I126" s="15" t="s">
        <v>107</v>
      </c>
      <c r="J126" s="15" t="s">
        <v>16</v>
      </c>
      <c r="K126" s="15" t="s">
        <v>28</v>
      </c>
      <c r="L126" s="15" t="s">
        <v>14</v>
      </c>
      <c r="M126" s="16">
        <v>108</v>
      </c>
      <c r="N126" s="16"/>
      <c r="O126" s="16">
        <f t="shared" si="38"/>
        <v>108</v>
      </c>
      <c r="P126" s="16">
        <v>108</v>
      </c>
      <c r="Q126" s="16"/>
      <c r="R126" s="16">
        <f t="shared" si="39"/>
        <v>108</v>
      </c>
      <c r="S126" s="17"/>
      <c r="T126" s="42"/>
    </row>
    <row r="127" spans="1:20" ht="54.75" customHeight="1" x14ac:dyDescent="0.2">
      <c r="A127" s="8"/>
      <c r="B127" s="18"/>
      <c r="C127" s="19"/>
      <c r="D127" s="81" t="s">
        <v>239</v>
      </c>
      <c r="E127" s="81"/>
      <c r="F127" s="81"/>
      <c r="G127" s="81"/>
      <c r="H127" s="14" t="s">
        <v>240</v>
      </c>
      <c r="I127" s="15" t="s">
        <v>107</v>
      </c>
      <c r="J127" s="15" t="s">
        <v>16</v>
      </c>
      <c r="K127" s="15" t="s">
        <v>63</v>
      </c>
      <c r="L127" s="15" t="s">
        <v>14</v>
      </c>
      <c r="M127" s="16">
        <v>144</v>
      </c>
      <c r="N127" s="16"/>
      <c r="O127" s="16">
        <f t="shared" si="38"/>
        <v>144</v>
      </c>
      <c r="P127" s="16">
        <v>144</v>
      </c>
      <c r="Q127" s="16">
        <f>-102.4-41.6</f>
        <v>-144</v>
      </c>
      <c r="R127" s="16">
        <f t="shared" si="39"/>
        <v>0</v>
      </c>
      <c r="S127" s="22" t="s">
        <v>393</v>
      </c>
      <c r="T127" s="42"/>
    </row>
    <row r="128" spans="1:20" ht="53.25" customHeight="1" x14ac:dyDescent="0.2">
      <c r="A128" s="8"/>
      <c r="B128" s="18"/>
      <c r="C128" s="19"/>
      <c r="D128" s="81" t="s">
        <v>241</v>
      </c>
      <c r="E128" s="81"/>
      <c r="F128" s="81"/>
      <c r="G128" s="81"/>
      <c r="H128" s="14" t="s">
        <v>242</v>
      </c>
      <c r="I128" s="15" t="s">
        <v>107</v>
      </c>
      <c r="J128" s="15" t="s">
        <v>16</v>
      </c>
      <c r="K128" s="15" t="s">
        <v>66</v>
      </c>
      <c r="L128" s="15" t="s">
        <v>14</v>
      </c>
      <c r="M128" s="16">
        <v>50</v>
      </c>
      <c r="N128" s="16"/>
      <c r="O128" s="16">
        <f t="shared" si="38"/>
        <v>50</v>
      </c>
      <c r="P128" s="16">
        <v>50</v>
      </c>
      <c r="Q128" s="16">
        <f>-28.4</f>
        <v>-28.4</v>
      </c>
      <c r="R128" s="16">
        <f t="shared" si="39"/>
        <v>21.6</v>
      </c>
      <c r="S128" s="22" t="s">
        <v>394</v>
      </c>
      <c r="T128" s="42"/>
    </row>
    <row r="129" spans="1:20" ht="32.25" customHeight="1" x14ac:dyDescent="0.2">
      <c r="A129" s="8"/>
      <c r="B129" s="82" t="s">
        <v>243</v>
      </c>
      <c r="C129" s="82"/>
      <c r="D129" s="82"/>
      <c r="E129" s="82"/>
      <c r="F129" s="82"/>
      <c r="G129" s="82"/>
      <c r="H129" s="14" t="s">
        <v>244</v>
      </c>
      <c r="I129" s="10" t="s">
        <v>110</v>
      </c>
      <c r="J129" s="10" t="s">
        <v>14</v>
      </c>
      <c r="K129" s="10" t="s">
        <v>14</v>
      </c>
      <c r="L129" s="10" t="s">
        <v>14</v>
      </c>
      <c r="M129" s="20">
        <f t="shared" ref="M129:R129" si="40">M130</f>
        <v>10569</v>
      </c>
      <c r="N129" s="20">
        <f t="shared" si="40"/>
        <v>-576</v>
      </c>
      <c r="O129" s="20">
        <f t="shared" si="40"/>
        <v>9993</v>
      </c>
      <c r="P129" s="20">
        <f t="shared" si="40"/>
        <v>9993</v>
      </c>
      <c r="Q129" s="20">
        <f t="shared" si="40"/>
        <v>-221</v>
      </c>
      <c r="R129" s="20">
        <f t="shared" si="40"/>
        <v>9772</v>
      </c>
      <c r="S129" s="21"/>
      <c r="T129" s="42"/>
    </row>
    <row r="130" spans="1:20" ht="19.5" customHeight="1" x14ac:dyDescent="0.2">
      <c r="A130" s="8"/>
      <c r="B130" s="13"/>
      <c r="C130" s="81" t="s">
        <v>15</v>
      </c>
      <c r="D130" s="81"/>
      <c r="E130" s="81"/>
      <c r="F130" s="81"/>
      <c r="G130" s="81"/>
      <c r="H130" s="14" t="s">
        <v>244</v>
      </c>
      <c r="I130" s="15" t="s">
        <v>110</v>
      </c>
      <c r="J130" s="15" t="s">
        <v>16</v>
      </c>
      <c r="K130" s="15" t="s">
        <v>14</v>
      </c>
      <c r="L130" s="15" t="s">
        <v>14</v>
      </c>
      <c r="M130" s="16">
        <f>M131+M132+M133+M134+M136+M137+M138+M139</f>
        <v>10569</v>
      </c>
      <c r="N130" s="16">
        <f>N131+N132+N133+N134+N136+N137+N138+N139</f>
        <v>-576</v>
      </c>
      <c r="O130" s="16">
        <f>O131+O132+O133+O134+O136+O137+O138+O139</f>
        <v>9993</v>
      </c>
      <c r="P130" s="16">
        <f>P131+P132+P133+P134+P135+P136+P137+P138+P139</f>
        <v>9993</v>
      </c>
      <c r="Q130" s="16">
        <f>Q131+Q132+Q133+Q134+Q135+Q136+Q137+Q138+Q139</f>
        <v>-221</v>
      </c>
      <c r="R130" s="16">
        <f>R131+R132+R133+R134+R135+R136+R137+R138+R139</f>
        <v>9772</v>
      </c>
      <c r="S130" s="17"/>
      <c r="T130" s="42"/>
    </row>
    <row r="131" spans="1:20" ht="29.25" customHeight="1" x14ac:dyDescent="0.2">
      <c r="A131" s="8"/>
      <c r="B131" s="18"/>
      <c r="C131" s="19"/>
      <c r="D131" s="81" t="s">
        <v>245</v>
      </c>
      <c r="E131" s="81"/>
      <c r="F131" s="81"/>
      <c r="G131" s="81"/>
      <c r="H131" s="14" t="s">
        <v>246</v>
      </c>
      <c r="I131" s="15" t="s">
        <v>110</v>
      </c>
      <c r="J131" s="15" t="s">
        <v>16</v>
      </c>
      <c r="K131" s="15" t="s">
        <v>19</v>
      </c>
      <c r="L131" s="15" t="s">
        <v>14</v>
      </c>
      <c r="M131" s="16">
        <v>492</v>
      </c>
      <c r="N131" s="16"/>
      <c r="O131" s="16">
        <f t="shared" ref="O131:O139" si="41">M131+N131</f>
        <v>492</v>
      </c>
      <c r="P131" s="16">
        <v>492</v>
      </c>
      <c r="Q131" s="16"/>
      <c r="R131" s="16">
        <f t="shared" ref="R131:R139" si="42">P131+Q131</f>
        <v>492</v>
      </c>
      <c r="S131" s="17"/>
      <c r="T131" s="42"/>
    </row>
    <row r="132" spans="1:20" ht="58.5" customHeight="1" x14ac:dyDescent="0.2">
      <c r="A132" s="8"/>
      <c r="B132" s="18"/>
      <c r="C132" s="19"/>
      <c r="D132" s="81" t="s">
        <v>247</v>
      </c>
      <c r="E132" s="81"/>
      <c r="F132" s="81"/>
      <c r="G132" s="81"/>
      <c r="H132" s="14" t="s">
        <v>248</v>
      </c>
      <c r="I132" s="15" t="s">
        <v>110</v>
      </c>
      <c r="J132" s="15" t="s">
        <v>16</v>
      </c>
      <c r="K132" s="15" t="s">
        <v>22</v>
      </c>
      <c r="L132" s="15" t="s">
        <v>14</v>
      </c>
      <c r="M132" s="16">
        <v>176.7</v>
      </c>
      <c r="N132" s="16"/>
      <c r="O132" s="16">
        <f t="shared" si="41"/>
        <v>176.7</v>
      </c>
      <c r="P132" s="16">
        <v>176.7</v>
      </c>
      <c r="Q132" s="16">
        <f>-44.2+79.6</f>
        <v>35.399999999999991</v>
      </c>
      <c r="R132" s="16">
        <f t="shared" si="42"/>
        <v>212.09999999999997</v>
      </c>
      <c r="S132" s="51" t="s">
        <v>390</v>
      </c>
      <c r="T132" s="42"/>
    </row>
    <row r="133" spans="1:20" ht="69.75" customHeight="1" x14ac:dyDescent="0.2">
      <c r="A133" s="8"/>
      <c r="B133" s="18"/>
      <c r="C133" s="19"/>
      <c r="D133" s="81" t="s">
        <v>249</v>
      </c>
      <c r="E133" s="81"/>
      <c r="F133" s="81"/>
      <c r="G133" s="81"/>
      <c r="H133" s="14" t="s">
        <v>250</v>
      </c>
      <c r="I133" s="15" t="s">
        <v>110</v>
      </c>
      <c r="J133" s="15" t="s">
        <v>16</v>
      </c>
      <c r="K133" s="15" t="s">
        <v>28</v>
      </c>
      <c r="L133" s="15" t="s">
        <v>14</v>
      </c>
      <c r="M133" s="16">
        <v>193</v>
      </c>
      <c r="N133" s="16"/>
      <c r="O133" s="16">
        <f t="shared" si="41"/>
        <v>193</v>
      </c>
      <c r="P133" s="16">
        <v>193</v>
      </c>
      <c r="Q133" s="16">
        <f>-43-150</f>
        <v>-193</v>
      </c>
      <c r="R133" s="16">
        <f t="shared" si="42"/>
        <v>0</v>
      </c>
      <c r="S133" s="51" t="s">
        <v>392</v>
      </c>
      <c r="T133" s="42"/>
    </row>
    <row r="134" spans="1:20" ht="37.5" customHeight="1" x14ac:dyDescent="0.2">
      <c r="A134" s="8"/>
      <c r="B134" s="18"/>
      <c r="C134" s="19"/>
      <c r="D134" s="81" t="s">
        <v>251</v>
      </c>
      <c r="E134" s="81"/>
      <c r="F134" s="81"/>
      <c r="G134" s="81"/>
      <c r="H134" s="14" t="s">
        <v>252</v>
      </c>
      <c r="I134" s="15" t="s">
        <v>110</v>
      </c>
      <c r="J134" s="15" t="s">
        <v>16</v>
      </c>
      <c r="K134" s="15" t="s">
        <v>63</v>
      </c>
      <c r="L134" s="15" t="s">
        <v>14</v>
      </c>
      <c r="M134" s="16">
        <v>100</v>
      </c>
      <c r="N134" s="16"/>
      <c r="O134" s="16">
        <f t="shared" si="41"/>
        <v>100</v>
      </c>
      <c r="P134" s="16">
        <v>100</v>
      </c>
      <c r="Q134" s="16"/>
      <c r="R134" s="16">
        <f t="shared" si="42"/>
        <v>100</v>
      </c>
      <c r="S134" s="17"/>
      <c r="T134" s="42"/>
    </row>
    <row r="135" spans="1:20" ht="37.5" customHeight="1" x14ac:dyDescent="0.2">
      <c r="A135" s="8"/>
      <c r="B135" s="18"/>
      <c r="C135" s="19"/>
      <c r="D135" s="52"/>
      <c r="E135" s="52"/>
      <c r="F135" s="52"/>
      <c r="G135" s="52" t="s">
        <v>388</v>
      </c>
      <c r="H135" s="14"/>
      <c r="I135" s="15" t="s">
        <v>110</v>
      </c>
      <c r="J135" s="15" t="s">
        <v>16</v>
      </c>
      <c r="K135" s="15">
        <v>16</v>
      </c>
      <c r="L135" s="15"/>
      <c r="M135" s="16"/>
      <c r="N135" s="16"/>
      <c r="O135" s="16"/>
      <c r="P135" s="16">
        <v>0</v>
      </c>
      <c r="Q135" s="16">
        <f>60</f>
        <v>60</v>
      </c>
      <c r="R135" s="16">
        <f t="shared" si="42"/>
        <v>60</v>
      </c>
      <c r="S135" s="22" t="s">
        <v>389</v>
      </c>
      <c r="T135" s="42"/>
    </row>
    <row r="136" spans="1:20" ht="25.5" customHeight="1" x14ac:dyDescent="0.2">
      <c r="A136" s="8"/>
      <c r="B136" s="18"/>
      <c r="C136" s="19"/>
      <c r="D136" s="81" t="s">
        <v>253</v>
      </c>
      <c r="E136" s="81"/>
      <c r="F136" s="81"/>
      <c r="G136" s="81"/>
      <c r="H136" s="14" t="s">
        <v>254</v>
      </c>
      <c r="I136" s="15" t="s">
        <v>110</v>
      </c>
      <c r="J136" s="15" t="s">
        <v>16</v>
      </c>
      <c r="K136" s="15" t="s">
        <v>107</v>
      </c>
      <c r="L136" s="15" t="s">
        <v>14</v>
      </c>
      <c r="M136" s="16">
        <v>0</v>
      </c>
      <c r="N136" s="16"/>
      <c r="O136" s="16">
        <f t="shared" si="41"/>
        <v>0</v>
      </c>
      <c r="P136" s="16">
        <v>0</v>
      </c>
      <c r="Q136" s="16"/>
      <c r="R136" s="16">
        <f t="shared" si="42"/>
        <v>0</v>
      </c>
      <c r="S136" s="17"/>
      <c r="T136" s="42"/>
    </row>
    <row r="137" spans="1:20" ht="16.5" customHeight="1" x14ac:dyDescent="0.2">
      <c r="A137" s="8"/>
      <c r="B137" s="18"/>
      <c r="C137" s="19"/>
      <c r="D137" s="81" t="s">
        <v>255</v>
      </c>
      <c r="E137" s="81"/>
      <c r="F137" s="81"/>
      <c r="G137" s="81"/>
      <c r="H137" s="14" t="s">
        <v>256</v>
      </c>
      <c r="I137" s="15" t="s">
        <v>110</v>
      </c>
      <c r="J137" s="15" t="s">
        <v>16</v>
      </c>
      <c r="K137" s="15" t="s">
        <v>110</v>
      </c>
      <c r="L137" s="15" t="s">
        <v>14</v>
      </c>
      <c r="M137" s="16">
        <v>44</v>
      </c>
      <c r="N137" s="16"/>
      <c r="O137" s="16">
        <f t="shared" si="41"/>
        <v>44</v>
      </c>
      <c r="P137" s="16">
        <v>44</v>
      </c>
      <c r="Q137" s="16"/>
      <c r="R137" s="16">
        <f t="shared" si="42"/>
        <v>44</v>
      </c>
      <c r="S137" s="17"/>
      <c r="T137" s="42"/>
    </row>
    <row r="138" spans="1:20" ht="24.75" customHeight="1" x14ac:dyDescent="0.2">
      <c r="A138" s="8"/>
      <c r="B138" s="18"/>
      <c r="C138" s="19"/>
      <c r="D138" s="81" t="s">
        <v>257</v>
      </c>
      <c r="E138" s="81"/>
      <c r="F138" s="81"/>
      <c r="G138" s="81"/>
      <c r="H138" s="14" t="s">
        <v>258</v>
      </c>
      <c r="I138" s="15" t="s">
        <v>110</v>
      </c>
      <c r="J138" s="15" t="s">
        <v>16</v>
      </c>
      <c r="K138" s="15" t="s">
        <v>215</v>
      </c>
      <c r="L138" s="15" t="s">
        <v>14</v>
      </c>
      <c r="M138" s="16">
        <v>95.4</v>
      </c>
      <c r="N138" s="16"/>
      <c r="O138" s="16">
        <f t="shared" si="41"/>
        <v>95.4</v>
      </c>
      <c r="P138" s="16">
        <v>95.4</v>
      </c>
      <c r="Q138" s="16"/>
      <c r="R138" s="16">
        <f t="shared" si="42"/>
        <v>95.4</v>
      </c>
      <c r="S138" s="47"/>
      <c r="T138" s="42"/>
    </row>
    <row r="139" spans="1:20" ht="114.75" customHeight="1" x14ac:dyDescent="0.2">
      <c r="A139" s="8"/>
      <c r="B139" s="18"/>
      <c r="C139" s="19"/>
      <c r="D139" s="81" t="s">
        <v>259</v>
      </c>
      <c r="E139" s="81"/>
      <c r="F139" s="81"/>
      <c r="G139" s="81"/>
      <c r="H139" s="14" t="s">
        <v>260</v>
      </c>
      <c r="I139" s="15" t="s">
        <v>110</v>
      </c>
      <c r="J139" s="15" t="s">
        <v>16</v>
      </c>
      <c r="K139" s="15" t="s">
        <v>145</v>
      </c>
      <c r="L139" s="15" t="s">
        <v>14</v>
      </c>
      <c r="M139" s="16">
        <v>9467.9</v>
      </c>
      <c r="N139" s="16">
        <f>-576</f>
        <v>-576</v>
      </c>
      <c r="O139" s="16">
        <f t="shared" si="41"/>
        <v>8891.9</v>
      </c>
      <c r="P139" s="16">
        <v>8891.9</v>
      </c>
      <c r="Q139" s="16">
        <f>-393.4+120+150</f>
        <v>-123.39999999999998</v>
      </c>
      <c r="R139" s="16">
        <f t="shared" si="42"/>
        <v>8768.5</v>
      </c>
      <c r="S139" s="22" t="s">
        <v>391</v>
      </c>
      <c r="T139" s="42"/>
    </row>
    <row r="140" spans="1:20" ht="29.25" customHeight="1" x14ac:dyDescent="0.2">
      <c r="A140" s="8"/>
      <c r="B140" s="82" t="s">
        <v>261</v>
      </c>
      <c r="C140" s="82"/>
      <c r="D140" s="82"/>
      <c r="E140" s="82"/>
      <c r="F140" s="82"/>
      <c r="G140" s="82"/>
      <c r="H140" s="14" t="s">
        <v>262</v>
      </c>
      <c r="I140" s="10" t="s">
        <v>263</v>
      </c>
      <c r="J140" s="10" t="s">
        <v>14</v>
      </c>
      <c r="K140" s="10" t="s">
        <v>14</v>
      </c>
      <c r="L140" s="10" t="s">
        <v>14</v>
      </c>
      <c r="M140" s="20">
        <f>M141</f>
        <v>9708.5</v>
      </c>
      <c r="N140" s="20">
        <f>N141</f>
        <v>9812.7000000000007</v>
      </c>
      <c r="O140" s="20">
        <f>O141</f>
        <v>19521.2</v>
      </c>
      <c r="P140" s="20">
        <v>19521.2</v>
      </c>
      <c r="Q140" s="20">
        <f>Q141</f>
        <v>-578.30000000000007</v>
      </c>
      <c r="R140" s="20">
        <f>R141</f>
        <v>18942.899999999998</v>
      </c>
      <c r="S140" s="21"/>
      <c r="T140" s="42"/>
    </row>
    <row r="141" spans="1:20" ht="12.75" customHeight="1" x14ac:dyDescent="0.2">
      <c r="A141" s="8"/>
      <c r="B141" s="13"/>
      <c r="C141" s="81" t="s">
        <v>224</v>
      </c>
      <c r="D141" s="81"/>
      <c r="E141" s="81"/>
      <c r="F141" s="81"/>
      <c r="G141" s="81"/>
      <c r="H141" s="14" t="s">
        <v>262</v>
      </c>
      <c r="I141" s="15" t="s">
        <v>263</v>
      </c>
      <c r="J141" s="15" t="s">
        <v>16</v>
      </c>
      <c r="K141" s="15" t="s">
        <v>14</v>
      </c>
      <c r="L141" s="15" t="s">
        <v>14</v>
      </c>
      <c r="M141" s="16">
        <f>M142+M143</f>
        <v>9708.5</v>
      </c>
      <c r="N141" s="16">
        <f>N142+N143</f>
        <v>9812.7000000000007</v>
      </c>
      <c r="O141" s="16">
        <f>O142+O143</f>
        <v>19521.2</v>
      </c>
      <c r="P141" s="16">
        <v>19521.2</v>
      </c>
      <c r="Q141" s="16">
        <f>Q142+Q143</f>
        <v>-578.30000000000007</v>
      </c>
      <c r="R141" s="16">
        <f>R142+R143</f>
        <v>18942.899999999998</v>
      </c>
      <c r="S141" s="17"/>
      <c r="T141" s="42"/>
    </row>
    <row r="142" spans="1:20" ht="141" customHeight="1" x14ac:dyDescent="0.2">
      <c r="A142" s="8"/>
      <c r="B142" s="18"/>
      <c r="C142" s="19"/>
      <c r="D142" s="81" t="s">
        <v>264</v>
      </c>
      <c r="E142" s="81"/>
      <c r="F142" s="81"/>
      <c r="G142" s="81"/>
      <c r="H142" s="14" t="s">
        <v>265</v>
      </c>
      <c r="I142" s="15" t="s">
        <v>263</v>
      </c>
      <c r="J142" s="15" t="s">
        <v>16</v>
      </c>
      <c r="K142" s="15" t="s">
        <v>19</v>
      </c>
      <c r="L142" s="15" t="s">
        <v>14</v>
      </c>
      <c r="M142" s="16">
        <v>7913</v>
      </c>
      <c r="N142" s="16">
        <f>-600+2612.7+7800</f>
        <v>9812.7000000000007</v>
      </c>
      <c r="O142" s="16">
        <f t="shared" ref="O142:O143" si="43">M142+N142</f>
        <v>17725.7</v>
      </c>
      <c r="P142" s="16">
        <v>17725.7</v>
      </c>
      <c r="Q142" s="16">
        <f>100-1140+412.1+300</f>
        <v>-327.9</v>
      </c>
      <c r="R142" s="16">
        <f t="shared" ref="R142:R143" si="44">P142+Q142</f>
        <v>17397.8</v>
      </c>
      <c r="S142" s="26" t="s">
        <v>404</v>
      </c>
      <c r="T142" s="42"/>
    </row>
    <row r="143" spans="1:20" ht="60" customHeight="1" x14ac:dyDescent="0.2">
      <c r="A143" s="8"/>
      <c r="B143" s="18"/>
      <c r="C143" s="19"/>
      <c r="D143" s="81" t="s">
        <v>266</v>
      </c>
      <c r="E143" s="81"/>
      <c r="F143" s="81"/>
      <c r="G143" s="81"/>
      <c r="H143" s="14" t="s">
        <v>267</v>
      </c>
      <c r="I143" s="15" t="s">
        <v>263</v>
      </c>
      <c r="J143" s="15" t="s">
        <v>16</v>
      </c>
      <c r="K143" s="15" t="s">
        <v>22</v>
      </c>
      <c r="L143" s="15" t="s">
        <v>14</v>
      </c>
      <c r="M143" s="16">
        <v>1795.5</v>
      </c>
      <c r="N143" s="16"/>
      <c r="O143" s="16">
        <f t="shared" si="43"/>
        <v>1795.5</v>
      </c>
      <c r="P143" s="16">
        <v>1795.5</v>
      </c>
      <c r="Q143" s="16">
        <f>-1390.4+1140</f>
        <v>-250.40000000000009</v>
      </c>
      <c r="R143" s="16">
        <f t="shared" si="44"/>
        <v>1545.1</v>
      </c>
      <c r="S143" s="26" t="s">
        <v>405</v>
      </c>
      <c r="T143" s="42"/>
    </row>
    <row r="144" spans="1:20" ht="25.5" customHeight="1" x14ac:dyDescent="0.2">
      <c r="A144" s="8"/>
      <c r="B144" s="82" t="s">
        <v>268</v>
      </c>
      <c r="C144" s="82"/>
      <c r="D144" s="82"/>
      <c r="E144" s="82"/>
      <c r="F144" s="82"/>
      <c r="G144" s="82"/>
      <c r="H144" s="23" t="s">
        <v>269</v>
      </c>
      <c r="I144" s="10" t="s">
        <v>270</v>
      </c>
      <c r="J144" s="10" t="s">
        <v>14</v>
      </c>
      <c r="K144" s="10" t="s">
        <v>14</v>
      </c>
      <c r="L144" s="10" t="s">
        <v>14</v>
      </c>
      <c r="M144" s="20">
        <f>M145</f>
        <v>555043.60000000009</v>
      </c>
      <c r="N144" s="20">
        <f>N145</f>
        <v>2961.9</v>
      </c>
      <c r="O144" s="20">
        <f>O145</f>
        <v>558005.5</v>
      </c>
      <c r="P144" s="20">
        <v>558005.5</v>
      </c>
      <c r="Q144" s="20">
        <f>Q145</f>
        <v>69768.799999999988</v>
      </c>
      <c r="R144" s="20">
        <f>R145</f>
        <v>627774.29999999993</v>
      </c>
      <c r="S144" s="22"/>
      <c r="T144" s="42"/>
    </row>
    <row r="145" spans="1:20" ht="20.25" customHeight="1" x14ac:dyDescent="0.2">
      <c r="A145" s="8"/>
      <c r="B145" s="13"/>
      <c r="C145" s="81" t="s">
        <v>15</v>
      </c>
      <c r="D145" s="81"/>
      <c r="E145" s="81"/>
      <c r="F145" s="81"/>
      <c r="G145" s="81"/>
      <c r="H145" s="14" t="s">
        <v>269</v>
      </c>
      <c r="I145" s="15" t="s">
        <v>270</v>
      </c>
      <c r="J145" s="15" t="s">
        <v>16</v>
      </c>
      <c r="K145" s="15" t="s">
        <v>14</v>
      </c>
      <c r="L145" s="15" t="s">
        <v>14</v>
      </c>
      <c r="M145" s="16">
        <f>M146+M147+M148+M149+M150</f>
        <v>555043.60000000009</v>
      </c>
      <c r="N145" s="16">
        <f>N146+N147+N148+N149+N150</f>
        <v>2961.9</v>
      </c>
      <c r="O145" s="16">
        <f>O146+O147+O148+O149+O150</f>
        <v>558005.5</v>
      </c>
      <c r="P145" s="16">
        <v>558005.5</v>
      </c>
      <c r="Q145" s="16">
        <f>Q146+Q147+Q148+Q149+Q150</f>
        <v>69768.799999999988</v>
      </c>
      <c r="R145" s="16">
        <f>R146+R147+R148+R149+R150</f>
        <v>627774.29999999993</v>
      </c>
      <c r="S145" s="22"/>
      <c r="T145" s="42"/>
    </row>
    <row r="146" spans="1:20" ht="154.5" customHeight="1" x14ac:dyDescent="0.2">
      <c r="A146" s="8"/>
      <c r="B146" s="18"/>
      <c r="C146" s="19"/>
      <c r="D146" s="81" t="s">
        <v>70</v>
      </c>
      <c r="E146" s="81"/>
      <c r="F146" s="81"/>
      <c r="G146" s="81"/>
      <c r="H146" s="14" t="s">
        <v>271</v>
      </c>
      <c r="I146" s="15" t="s">
        <v>270</v>
      </c>
      <c r="J146" s="15" t="s">
        <v>16</v>
      </c>
      <c r="K146" s="15" t="s">
        <v>13</v>
      </c>
      <c r="L146" s="15" t="s">
        <v>14</v>
      </c>
      <c r="M146" s="16">
        <v>310715.3</v>
      </c>
      <c r="N146" s="16">
        <f>-203.3</f>
        <v>-203.3</v>
      </c>
      <c r="O146" s="16">
        <f t="shared" ref="O146:O150" si="45">M146+N146</f>
        <v>310512</v>
      </c>
      <c r="P146" s="16">
        <v>310512</v>
      </c>
      <c r="Q146" s="16">
        <f>43078.7+1500-5.8-121.5-50-50-46.8-87.5+100</f>
        <v>44317.099999999991</v>
      </c>
      <c r="R146" s="16">
        <f t="shared" ref="R146:R150" si="46">P146+Q146</f>
        <v>354829.1</v>
      </c>
      <c r="S146" s="26" t="s">
        <v>379</v>
      </c>
      <c r="T146" s="42"/>
    </row>
    <row r="147" spans="1:20" ht="22.5" customHeight="1" x14ac:dyDescent="0.2">
      <c r="A147" s="8"/>
      <c r="B147" s="18"/>
      <c r="C147" s="19"/>
      <c r="D147" s="81" t="s">
        <v>272</v>
      </c>
      <c r="E147" s="81"/>
      <c r="F147" s="81"/>
      <c r="G147" s="81"/>
      <c r="H147" s="14" t="s">
        <v>273</v>
      </c>
      <c r="I147" s="15" t="s">
        <v>270</v>
      </c>
      <c r="J147" s="15" t="s">
        <v>16</v>
      </c>
      <c r="K147" s="15" t="s">
        <v>19</v>
      </c>
      <c r="L147" s="15" t="s">
        <v>14</v>
      </c>
      <c r="M147" s="16">
        <v>21861.200000000001</v>
      </c>
      <c r="N147" s="16"/>
      <c r="O147" s="16">
        <f t="shared" si="45"/>
        <v>21861.200000000001</v>
      </c>
      <c r="P147" s="16">
        <v>21861.200000000001</v>
      </c>
      <c r="Q147" s="16"/>
      <c r="R147" s="16">
        <f t="shared" si="46"/>
        <v>21861.200000000001</v>
      </c>
      <c r="S147" s="22"/>
      <c r="T147" s="42"/>
    </row>
    <row r="148" spans="1:20" ht="37.5" customHeight="1" x14ac:dyDescent="0.2">
      <c r="A148" s="8"/>
      <c r="B148" s="18"/>
      <c r="C148" s="19"/>
      <c r="D148" s="81" t="s">
        <v>274</v>
      </c>
      <c r="E148" s="81"/>
      <c r="F148" s="81"/>
      <c r="G148" s="81"/>
      <c r="H148" s="14" t="s">
        <v>275</v>
      </c>
      <c r="I148" s="15" t="s">
        <v>270</v>
      </c>
      <c r="J148" s="15" t="s">
        <v>16</v>
      </c>
      <c r="K148" s="15" t="s">
        <v>22</v>
      </c>
      <c r="L148" s="15" t="s">
        <v>14</v>
      </c>
      <c r="M148" s="16">
        <v>10983.9</v>
      </c>
      <c r="N148" s="16"/>
      <c r="O148" s="16">
        <f t="shared" si="45"/>
        <v>10983.9</v>
      </c>
      <c r="P148" s="16">
        <v>10983.9</v>
      </c>
      <c r="Q148" s="16">
        <f>40</f>
        <v>40</v>
      </c>
      <c r="R148" s="16">
        <f t="shared" si="46"/>
        <v>11023.9</v>
      </c>
      <c r="S148" s="22" t="s">
        <v>367</v>
      </c>
      <c r="T148" s="42"/>
    </row>
    <row r="149" spans="1:20" ht="119.25" customHeight="1" x14ac:dyDescent="0.2">
      <c r="A149" s="8"/>
      <c r="B149" s="18"/>
      <c r="C149" s="19"/>
      <c r="D149" s="81" t="s">
        <v>276</v>
      </c>
      <c r="E149" s="81"/>
      <c r="F149" s="81"/>
      <c r="G149" s="81"/>
      <c r="H149" s="14" t="s">
        <v>277</v>
      </c>
      <c r="I149" s="15" t="s">
        <v>270</v>
      </c>
      <c r="J149" s="15" t="s">
        <v>16</v>
      </c>
      <c r="K149" s="15" t="s">
        <v>25</v>
      </c>
      <c r="L149" s="15" t="s">
        <v>14</v>
      </c>
      <c r="M149" s="16">
        <v>164719.9</v>
      </c>
      <c r="N149" s="16">
        <f>1400</f>
        <v>1400</v>
      </c>
      <c r="O149" s="16">
        <f t="shared" si="45"/>
        <v>166119.9</v>
      </c>
      <c r="P149" s="16">
        <v>166119.9</v>
      </c>
      <c r="Q149" s="16">
        <f>15455.8+900+46.8+300</f>
        <v>16702.599999999999</v>
      </c>
      <c r="R149" s="16">
        <f t="shared" si="46"/>
        <v>182822.5</v>
      </c>
      <c r="S149" s="22" t="s">
        <v>380</v>
      </c>
      <c r="T149" s="42"/>
    </row>
    <row r="150" spans="1:20" ht="85.5" customHeight="1" x14ac:dyDescent="0.2">
      <c r="A150" s="8"/>
      <c r="B150" s="18"/>
      <c r="C150" s="19"/>
      <c r="D150" s="81" t="s">
        <v>278</v>
      </c>
      <c r="E150" s="81"/>
      <c r="F150" s="81"/>
      <c r="G150" s="81"/>
      <c r="H150" s="14" t="s">
        <v>279</v>
      </c>
      <c r="I150" s="15" t="s">
        <v>270</v>
      </c>
      <c r="J150" s="15" t="s">
        <v>16</v>
      </c>
      <c r="K150" s="15" t="s">
        <v>28</v>
      </c>
      <c r="L150" s="15" t="s">
        <v>14</v>
      </c>
      <c r="M150" s="16">
        <v>46763.3</v>
      </c>
      <c r="N150" s="16">
        <f>800+360.9+604.3</f>
        <v>1765.2</v>
      </c>
      <c r="O150" s="16">
        <f t="shared" si="45"/>
        <v>48528.5</v>
      </c>
      <c r="P150" s="16">
        <v>48528.5</v>
      </c>
      <c r="Q150" s="16">
        <f>500+7859.1+250+100</f>
        <v>8709.1</v>
      </c>
      <c r="R150" s="16">
        <f t="shared" si="46"/>
        <v>57237.599999999999</v>
      </c>
      <c r="S150" s="26" t="s">
        <v>366</v>
      </c>
      <c r="T150" s="42"/>
    </row>
    <row r="151" spans="1:20" ht="29.25" customHeight="1" x14ac:dyDescent="0.2">
      <c r="A151" s="8"/>
      <c r="B151" s="82" t="s">
        <v>280</v>
      </c>
      <c r="C151" s="82"/>
      <c r="D151" s="82"/>
      <c r="E151" s="82"/>
      <c r="F151" s="82"/>
      <c r="G151" s="82"/>
      <c r="H151" s="23" t="s">
        <v>281</v>
      </c>
      <c r="I151" s="10" t="s">
        <v>282</v>
      </c>
      <c r="J151" s="10" t="s">
        <v>14</v>
      </c>
      <c r="K151" s="10" t="s">
        <v>14</v>
      </c>
      <c r="L151" s="10" t="s">
        <v>14</v>
      </c>
      <c r="M151" s="20">
        <f>M152+M154</f>
        <v>27450.6</v>
      </c>
      <c r="N151" s="20">
        <f>N152+N154</f>
        <v>1186.5</v>
      </c>
      <c r="O151" s="20">
        <f>O152+O154</f>
        <v>28637.1</v>
      </c>
      <c r="P151" s="20">
        <v>28637.1</v>
      </c>
      <c r="Q151" s="20">
        <f>Q152+Q154</f>
        <v>24897</v>
      </c>
      <c r="R151" s="20">
        <f>R152+R154</f>
        <v>53534.100000000006</v>
      </c>
      <c r="S151" s="21"/>
      <c r="T151" s="42"/>
    </row>
    <row r="152" spans="1:20" ht="21.75" customHeight="1" x14ac:dyDescent="0.2">
      <c r="A152" s="8"/>
      <c r="B152" s="13"/>
      <c r="C152" s="81" t="s">
        <v>77</v>
      </c>
      <c r="D152" s="81"/>
      <c r="E152" s="81"/>
      <c r="F152" s="81"/>
      <c r="G152" s="81"/>
      <c r="H152" s="14" t="s">
        <v>283</v>
      </c>
      <c r="I152" s="15" t="s">
        <v>282</v>
      </c>
      <c r="J152" s="15" t="s">
        <v>45</v>
      </c>
      <c r="K152" s="15" t="s">
        <v>14</v>
      </c>
      <c r="L152" s="15" t="s">
        <v>14</v>
      </c>
      <c r="M152" s="16">
        <f>M153</f>
        <v>19744.3</v>
      </c>
      <c r="N152" s="16">
        <f>N153</f>
        <v>0</v>
      </c>
      <c r="O152" s="16">
        <f>O153</f>
        <v>19744.3</v>
      </c>
      <c r="P152" s="16">
        <v>19744.3</v>
      </c>
      <c r="Q152" s="16">
        <f>Q153</f>
        <v>0</v>
      </c>
      <c r="R152" s="16">
        <f>R153</f>
        <v>19744.3</v>
      </c>
      <c r="S152" s="17"/>
      <c r="T152" s="42"/>
    </row>
    <row r="153" spans="1:20" ht="12.75" customHeight="1" x14ac:dyDescent="0.2">
      <c r="A153" s="8"/>
      <c r="B153" s="18"/>
      <c r="C153" s="19"/>
      <c r="D153" s="81" t="s">
        <v>284</v>
      </c>
      <c r="E153" s="81"/>
      <c r="F153" s="81"/>
      <c r="G153" s="81"/>
      <c r="H153" s="14" t="s">
        <v>283</v>
      </c>
      <c r="I153" s="15" t="s">
        <v>282</v>
      </c>
      <c r="J153" s="15" t="s">
        <v>45</v>
      </c>
      <c r="K153" s="15" t="s">
        <v>285</v>
      </c>
      <c r="L153" s="15" t="s">
        <v>14</v>
      </c>
      <c r="M153" s="16">
        <v>19744.3</v>
      </c>
      <c r="N153" s="16"/>
      <c r="O153" s="16">
        <f>M153+N153</f>
        <v>19744.3</v>
      </c>
      <c r="P153" s="16">
        <v>19744.3</v>
      </c>
      <c r="Q153" s="16"/>
      <c r="R153" s="16">
        <f>P153+Q153</f>
        <v>19744.3</v>
      </c>
      <c r="S153" s="17"/>
      <c r="T153" s="42"/>
    </row>
    <row r="154" spans="1:20" ht="12.75" customHeight="1" x14ac:dyDescent="0.2">
      <c r="A154" s="8"/>
      <c r="B154" s="13"/>
      <c r="C154" s="81" t="s">
        <v>224</v>
      </c>
      <c r="D154" s="81"/>
      <c r="E154" s="81"/>
      <c r="F154" s="81"/>
      <c r="G154" s="81"/>
      <c r="H154" s="14" t="s">
        <v>286</v>
      </c>
      <c r="I154" s="15" t="s">
        <v>282</v>
      </c>
      <c r="J154" s="15" t="s">
        <v>16</v>
      </c>
      <c r="K154" s="15" t="s">
        <v>14</v>
      </c>
      <c r="L154" s="15" t="s">
        <v>14</v>
      </c>
      <c r="M154" s="16">
        <f>M156</f>
        <v>7706.3</v>
      </c>
      <c r="N154" s="16">
        <f>N156</f>
        <v>1186.5</v>
      </c>
      <c r="O154" s="16">
        <f>O156</f>
        <v>8892.7999999999993</v>
      </c>
      <c r="P154" s="16">
        <v>8892.7999999999993</v>
      </c>
      <c r="Q154" s="16">
        <f>SUM(Q155:Q156)</f>
        <v>24897</v>
      </c>
      <c r="R154" s="16">
        <f>SUM(R155:R156)</f>
        <v>33789.800000000003</v>
      </c>
      <c r="S154" s="17"/>
      <c r="T154" s="42"/>
    </row>
    <row r="155" spans="1:20" ht="39" customHeight="1" x14ac:dyDescent="0.2">
      <c r="A155" s="8"/>
      <c r="B155" s="13"/>
      <c r="C155" s="19"/>
      <c r="D155" s="45"/>
      <c r="E155" s="45"/>
      <c r="F155" s="45"/>
      <c r="G155" s="45" t="s">
        <v>354</v>
      </c>
      <c r="H155" s="14"/>
      <c r="I155" s="15" t="s">
        <v>282</v>
      </c>
      <c r="J155" s="15" t="s">
        <v>16</v>
      </c>
      <c r="K155" s="15">
        <v>11</v>
      </c>
      <c r="L155" s="15"/>
      <c r="M155" s="16"/>
      <c r="N155" s="16"/>
      <c r="O155" s="16"/>
      <c r="P155" s="16">
        <v>0</v>
      </c>
      <c r="Q155" s="16">
        <f>535</f>
        <v>535</v>
      </c>
      <c r="R155" s="16">
        <f>P155+Q155</f>
        <v>535</v>
      </c>
      <c r="S155" s="26" t="s">
        <v>365</v>
      </c>
      <c r="T155" s="42"/>
    </row>
    <row r="156" spans="1:20" ht="342" customHeight="1" x14ac:dyDescent="0.2">
      <c r="A156" s="8"/>
      <c r="B156" s="18"/>
      <c r="C156" s="19"/>
      <c r="D156" s="81" t="s">
        <v>287</v>
      </c>
      <c r="E156" s="81"/>
      <c r="F156" s="81"/>
      <c r="G156" s="81"/>
      <c r="H156" s="14" t="s">
        <v>286</v>
      </c>
      <c r="I156" s="15" t="s">
        <v>282</v>
      </c>
      <c r="J156" s="15" t="s">
        <v>16</v>
      </c>
      <c r="K156" s="15" t="s">
        <v>22</v>
      </c>
      <c r="L156" s="15" t="s">
        <v>14</v>
      </c>
      <c r="M156" s="16">
        <v>7706.3</v>
      </c>
      <c r="N156" s="16">
        <f>-575+1761.5</f>
        <v>1186.5</v>
      </c>
      <c r="O156" s="16">
        <f>M156+N156</f>
        <v>8892.7999999999993</v>
      </c>
      <c r="P156" s="16">
        <v>8892.7999999999993</v>
      </c>
      <c r="Q156" s="16">
        <f>600+599-582-286.2-2445+406.2+600+390-30+25110</f>
        <v>24362</v>
      </c>
      <c r="R156" s="16">
        <f>P156+Q156</f>
        <v>33254.800000000003</v>
      </c>
      <c r="S156" s="26" t="s">
        <v>406</v>
      </c>
      <c r="T156" s="42"/>
    </row>
    <row r="157" spans="1:20" ht="25.5" customHeight="1" x14ac:dyDescent="0.2">
      <c r="A157" s="8"/>
      <c r="B157" s="82" t="s">
        <v>288</v>
      </c>
      <c r="C157" s="82"/>
      <c r="D157" s="82"/>
      <c r="E157" s="82"/>
      <c r="F157" s="82"/>
      <c r="G157" s="82"/>
      <c r="H157" s="23" t="s">
        <v>289</v>
      </c>
      <c r="I157" s="10" t="s">
        <v>290</v>
      </c>
      <c r="J157" s="10" t="s">
        <v>14</v>
      </c>
      <c r="K157" s="10" t="s">
        <v>14</v>
      </c>
      <c r="L157" s="10" t="s">
        <v>14</v>
      </c>
      <c r="M157" s="20">
        <f>M158</f>
        <v>81390.100000000006</v>
      </c>
      <c r="N157" s="20">
        <f>N158</f>
        <v>6460</v>
      </c>
      <c r="O157" s="20">
        <f>O158</f>
        <v>87850.1</v>
      </c>
      <c r="P157" s="20">
        <v>87850.1</v>
      </c>
      <c r="Q157" s="20">
        <f>Q158</f>
        <v>14648.4</v>
      </c>
      <c r="R157" s="20">
        <f>R158</f>
        <v>102498.5</v>
      </c>
      <c r="S157" s="21"/>
      <c r="T157" s="42"/>
    </row>
    <row r="158" spans="1:20" ht="27" customHeight="1" x14ac:dyDescent="0.2">
      <c r="A158" s="8"/>
      <c r="B158" s="13"/>
      <c r="C158" s="81" t="s">
        <v>15</v>
      </c>
      <c r="D158" s="81"/>
      <c r="E158" s="81"/>
      <c r="F158" s="81"/>
      <c r="G158" s="81"/>
      <c r="H158" s="14" t="s">
        <v>289</v>
      </c>
      <c r="I158" s="15" t="s">
        <v>290</v>
      </c>
      <c r="J158" s="15" t="s">
        <v>16</v>
      </c>
      <c r="K158" s="15" t="s">
        <v>14</v>
      </c>
      <c r="L158" s="15" t="s">
        <v>14</v>
      </c>
      <c r="M158" s="16">
        <f>M159+M160+M161+M162</f>
        <v>81390.100000000006</v>
      </c>
      <c r="N158" s="16">
        <f>N159+N160+N161+N162</f>
        <v>6460</v>
      </c>
      <c r="O158" s="16">
        <f>O159+O160+O161+O162</f>
        <v>87850.1</v>
      </c>
      <c r="P158" s="16">
        <v>87850.1</v>
      </c>
      <c r="Q158" s="16">
        <f>Q159+Q160+Q161+Q162</f>
        <v>14648.4</v>
      </c>
      <c r="R158" s="16">
        <f>R159+R160+R161+R162</f>
        <v>102498.5</v>
      </c>
      <c r="S158" s="17"/>
      <c r="T158" s="42"/>
    </row>
    <row r="159" spans="1:20" ht="39.75" customHeight="1" x14ac:dyDescent="0.2">
      <c r="A159" s="8"/>
      <c r="B159" s="18"/>
      <c r="C159" s="19"/>
      <c r="D159" s="81" t="s">
        <v>291</v>
      </c>
      <c r="E159" s="81"/>
      <c r="F159" s="81"/>
      <c r="G159" s="81"/>
      <c r="H159" s="14" t="s">
        <v>292</v>
      </c>
      <c r="I159" s="15" t="s">
        <v>290</v>
      </c>
      <c r="J159" s="15" t="s">
        <v>16</v>
      </c>
      <c r="K159" s="15" t="s">
        <v>19</v>
      </c>
      <c r="L159" s="15" t="s">
        <v>14</v>
      </c>
      <c r="M159" s="16">
        <v>1000</v>
      </c>
      <c r="N159" s="16"/>
      <c r="O159" s="16">
        <f t="shared" ref="O159:O162" si="47">M159+N159</f>
        <v>1000</v>
      </c>
      <c r="P159" s="16">
        <v>1000</v>
      </c>
      <c r="Q159" s="16"/>
      <c r="R159" s="16">
        <f t="shared" ref="R159:R162" si="48">P159+Q159</f>
        <v>1000</v>
      </c>
      <c r="S159" s="47"/>
      <c r="T159" s="42"/>
    </row>
    <row r="160" spans="1:20" ht="72" customHeight="1" x14ac:dyDescent="0.2">
      <c r="A160" s="8"/>
      <c r="B160" s="18"/>
      <c r="C160" s="19"/>
      <c r="D160" s="81" t="s">
        <v>293</v>
      </c>
      <c r="E160" s="81"/>
      <c r="F160" s="81"/>
      <c r="G160" s="81"/>
      <c r="H160" s="14" t="s">
        <v>294</v>
      </c>
      <c r="I160" s="15" t="s">
        <v>290</v>
      </c>
      <c r="J160" s="15" t="s">
        <v>16</v>
      </c>
      <c r="K160" s="15" t="s">
        <v>22</v>
      </c>
      <c r="L160" s="15" t="s">
        <v>14</v>
      </c>
      <c r="M160" s="16">
        <v>58677.599999999999</v>
      </c>
      <c r="N160" s="16">
        <v>6460</v>
      </c>
      <c r="O160" s="16">
        <f t="shared" si="47"/>
        <v>65137.599999999999</v>
      </c>
      <c r="P160" s="16">
        <v>65137.599999999999</v>
      </c>
      <c r="Q160" s="16">
        <f>9446.4+6.9</f>
        <v>9453.2999999999993</v>
      </c>
      <c r="R160" s="16">
        <f t="shared" si="48"/>
        <v>74590.899999999994</v>
      </c>
      <c r="S160" s="48" t="s">
        <v>357</v>
      </c>
      <c r="T160" s="42"/>
    </row>
    <row r="161" spans="1:20" ht="33.75" customHeight="1" x14ac:dyDescent="0.2">
      <c r="A161" s="8"/>
      <c r="B161" s="18"/>
      <c r="C161" s="19"/>
      <c r="D161" s="81" t="s">
        <v>295</v>
      </c>
      <c r="E161" s="81"/>
      <c r="F161" s="81"/>
      <c r="G161" s="81"/>
      <c r="H161" s="14" t="s">
        <v>296</v>
      </c>
      <c r="I161" s="15" t="s">
        <v>290</v>
      </c>
      <c r="J161" s="15" t="s">
        <v>16</v>
      </c>
      <c r="K161" s="15" t="s">
        <v>25</v>
      </c>
      <c r="L161" s="15" t="s">
        <v>14</v>
      </c>
      <c r="M161" s="16">
        <v>500</v>
      </c>
      <c r="N161" s="16"/>
      <c r="O161" s="16">
        <f t="shared" si="47"/>
        <v>500</v>
      </c>
      <c r="P161" s="16">
        <v>500</v>
      </c>
      <c r="Q161" s="16"/>
      <c r="R161" s="16">
        <f t="shared" si="48"/>
        <v>500</v>
      </c>
      <c r="S161" s="17"/>
      <c r="T161" s="42"/>
    </row>
    <row r="162" spans="1:20" ht="93" customHeight="1" x14ac:dyDescent="0.2">
      <c r="A162" s="8"/>
      <c r="B162" s="18"/>
      <c r="C162" s="19"/>
      <c r="D162" s="81" t="s">
        <v>297</v>
      </c>
      <c r="E162" s="81"/>
      <c r="F162" s="81"/>
      <c r="G162" s="81"/>
      <c r="H162" s="14" t="s">
        <v>298</v>
      </c>
      <c r="I162" s="15" t="s">
        <v>290</v>
      </c>
      <c r="J162" s="15" t="s">
        <v>16</v>
      </c>
      <c r="K162" s="15" t="s">
        <v>28</v>
      </c>
      <c r="L162" s="15" t="s">
        <v>14</v>
      </c>
      <c r="M162" s="16">
        <v>21212.5</v>
      </c>
      <c r="N162" s="16"/>
      <c r="O162" s="16">
        <f t="shared" si="47"/>
        <v>21212.5</v>
      </c>
      <c r="P162" s="16">
        <v>21212.5</v>
      </c>
      <c r="Q162" s="16">
        <f>2950+2245.1</f>
        <v>5195.1000000000004</v>
      </c>
      <c r="R162" s="16">
        <f t="shared" si="48"/>
        <v>26407.599999999999</v>
      </c>
      <c r="S162" s="26" t="s">
        <v>407</v>
      </c>
      <c r="T162" s="42"/>
    </row>
    <row r="163" spans="1:20" ht="24" customHeight="1" x14ac:dyDescent="0.2">
      <c r="A163" s="8"/>
      <c r="B163" s="82" t="s">
        <v>299</v>
      </c>
      <c r="C163" s="82"/>
      <c r="D163" s="82"/>
      <c r="E163" s="82"/>
      <c r="F163" s="82"/>
      <c r="G163" s="82"/>
      <c r="H163" s="23" t="s">
        <v>300</v>
      </c>
      <c r="I163" s="10" t="s">
        <v>301</v>
      </c>
      <c r="J163" s="10" t="s">
        <v>14</v>
      </c>
      <c r="K163" s="10" t="s">
        <v>14</v>
      </c>
      <c r="L163" s="10" t="s">
        <v>14</v>
      </c>
      <c r="M163" s="20">
        <f>M164+M167</f>
        <v>3574770.9</v>
      </c>
      <c r="N163" s="20">
        <f>N164+N167</f>
        <v>34706.299999999996</v>
      </c>
      <c r="O163" s="20">
        <f>O164+O167</f>
        <v>3609477.2</v>
      </c>
      <c r="P163" s="20">
        <v>3609477.2</v>
      </c>
      <c r="Q163" s="20">
        <f>Q164+Q167</f>
        <v>125734.6</v>
      </c>
      <c r="R163" s="20">
        <f>R164+R167</f>
        <v>3735211.8000000003</v>
      </c>
      <c r="S163" s="21"/>
      <c r="T163" s="42"/>
    </row>
    <row r="164" spans="1:20" ht="30" customHeight="1" x14ac:dyDescent="0.2">
      <c r="A164" s="8"/>
      <c r="B164" s="13"/>
      <c r="C164" s="81" t="s">
        <v>302</v>
      </c>
      <c r="D164" s="81"/>
      <c r="E164" s="81"/>
      <c r="F164" s="81"/>
      <c r="G164" s="81"/>
      <c r="H164" s="14" t="s">
        <v>303</v>
      </c>
      <c r="I164" s="15" t="s">
        <v>301</v>
      </c>
      <c r="J164" s="15" t="s">
        <v>45</v>
      </c>
      <c r="K164" s="15" t="s">
        <v>14</v>
      </c>
      <c r="L164" s="15" t="s">
        <v>14</v>
      </c>
      <c r="M164" s="16">
        <f>M165+M166</f>
        <v>263840.8</v>
      </c>
      <c r="N164" s="16">
        <f t="shared" ref="N164:O164" si="49">N165+N166</f>
        <v>-0.1</v>
      </c>
      <c r="O164" s="16">
        <f t="shared" si="49"/>
        <v>263840.7</v>
      </c>
      <c r="P164" s="16">
        <v>263840.7</v>
      </c>
      <c r="Q164" s="16">
        <f t="shared" ref="Q164:R164" si="50">Q165+Q166</f>
        <v>116306</v>
      </c>
      <c r="R164" s="16">
        <f t="shared" si="50"/>
        <v>380146.7</v>
      </c>
      <c r="S164" s="17"/>
      <c r="T164" s="42"/>
    </row>
    <row r="165" spans="1:20" ht="47.25" customHeight="1" x14ac:dyDescent="0.2">
      <c r="A165" s="8"/>
      <c r="B165" s="18"/>
      <c r="C165" s="19"/>
      <c r="D165" s="81" t="s">
        <v>304</v>
      </c>
      <c r="E165" s="81"/>
      <c r="F165" s="81"/>
      <c r="G165" s="81"/>
      <c r="H165" s="14" t="s">
        <v>305</v>
      </c>
      <c r="I165" s="15" t="s">
        <v>301</v>
      </c>
      <c r="J165" s="15" t="s">
        <v>45</v>
      </c>
      <c r="K165" s="15" t="s">
        <v>306</v>
      </c>
      <c r="L165" s="15" t="s">
        <v>14</v>
      </c>
      <c r="M165" s="16">
        <v>172542</v>
      </c>
      <c r="N165" s="16">
        <v>-0.1</v>
      </c>
      <c r="O165" s="16">
        <f t="shared" ref="O165:O182" si="51">M165+N165</f>
        <v>172541.9</v>
      </c>
      <c r="P165" s="16">
        <v>172541.9</v>
      </c>
      <c r="Q165" s="16">
        <v>116306</v>
      </c>
      <c r="R165" s="16">
        <f t="shared" ref="R165:R182" si="52">P165+Q165</f>
        <v>288847.90000000002</v>
      </c>
      <c r="S165" s="24" t="s">
        <v>384</v>
      </c>
      <c r="T165" s="42"/>
    </row>
    <row r="166" spans="1:20" ht="28.5" customHeight="1" x14ac:dyDescent="0.2">
      <c r="A166" s="8"/>
      <c r="B166" s="18"/>
      <c r="C166" s="19"/>
      <c r="D166" s="81" t="s">
        <v>307</v>
      </c>
      <c r="E166" s="81"/>
      <c r="F166" s="81"/>
      <c r="G166" s="81"/>
      <c r="H166" s="14" t="s">
        <v>308</v>
      </c>
      <c r="I166" s="15" t="s">
        <v>301</v>
      </c>
      <c r="J166" s="15" t="s">
        <v>45</v>
      </c>
      <c r="K166" s="15" t="s">
        <v>309</v>
      </c>
      <c r="L166" s="15" t="s">
        <v>14</v>
      </c>
      <c r="M166" s="16">
        <v>91298.8</v>
      </c>
      <c r="N166" s="16"/>
      <c r="O166" s="16">
        <f t="shared" si="51"/>
        <v>91298.8</v>
      </c>
      <c r="P166" s="16">
        <v>91298.8</v>
      </c>
      <c r="Q166" s="16"/>
      <c r="R166" s="16">
        <f t="shared" si="52"/>
        <v>91298.8</v>
      </c>
      <c r="S166" s="17"/>
      <c r="T166" s="42"/>
    </row>
    <row r="167" spans="1:20" ht="34.5" customHeight="1" x14ac:dyDescent="0.2">
      <c r="A167" s="8"/>
      <c r="B167" s="13"/>
      <c r="C167" s="81" t="s">
        <v>15</v>
      </c>
      <c r="D167" s="81"/>
      <c r="E167" s="81"/>
      <c r="F167" s="81"/>
      <c r="G167" s="81"/>
      <c r="H167" s="14" t="s">
        <v>310</v>
      </c>
      <c r="I167" s="15" t="s">
        <v>301</v>
      </c>
      <c r="J167" s="15" t="s">
        <v>16</v>
      </c>
      <c r="K167" s="15" t="s">
        <v>14</v>
      </c>
      <c r="L167" s="15" t="s">
        <v>14</v>
      </c>
      <c r="M167" s="16">
        <f>M168+M169+M171+M172+M173+M174+M175+M176+M179+M180+M181+M177+M178+M182</f>
        <v>3310930.1</v>
      </c>
      <c r="N167" s="16">
        <f>N168+N169+N171+N172+N173+N174+N175+N176+N177+N178+N179+N180+N181+N182</f>
        <v>34706.399999999994</v>
      </c>
      <c r="O167" s="16">
        <f t="shared" si="51"/>
        <v>3345636.5</v>
      </c>
      <c r="P167" s="16">
        <v>3345636.5</v>
      </c>
      <c r="Q167" s="16">
        <f>Q168+Q169+Q171+Q172+Q173+Q174+Q175+Q176+Q177+Q178+Q179+Q180+Q181+Q182</f>
        <v>9428.6000000000022</v>
      </c>
      <c r="R167" s="16">
        <f t="shared" si="52"/>
        <v>3355065.1</v>
      </c>
      <c r="S167" s="22"/>
      <c r="T167" s="42"/>
    </row>
    <row r="168" spans="1:20" ht="91.5" customHeight="1" x14ac:dyDescent="0.2">
      <c r="A168" s="8"/>
      <c r="B168" s="18"/>
      <c r="C168" s="19"/>
      <c r="D168" s="81" t="s">
        <v>70</v>
      </c>
      <c r="E168" s="81"/>
      <c r="F168" s="81"/>
      <c r="G168" s="81"/>
      <c r="H168" s="14" t="s">
        <v>311</v>
      </c>
      <c r="I168" s="15" t="s">
        <v>301</v>
      </c>
      <c r="J168" s="15" t="s">
        <v>16</v>
      </c>
      <c r="K168" s="15" t="s">
        <v>13</v>
      </c>
      <c r="L168" s="15" t="s">
        <v>14</v>
      </c>
      <c r="M168" s="16">
        <v>44484.2</v>
      </c>
      <c r="N168" s="16">
        <f>-414</f>
        <v>-414</v>
      </c>
      <c r="O168" s="16">
        <f t="shared" si="51"/>
        <v>44070.2</v>
      </c>
      <c r="P168" s="16">
        <v>44070.2</v>
      </c>
      <c r="Q168" s="16">
        <f>200+55-2500</f>
        <v>-2245</v>
      </c>
      <c r="R168" s="16">
        <f t="shared" si="52"/>
        <v>41825.199999999997</v>
      </c>
      <c r="S168" s="49" t="s">
        <v>383</v>
      </c>
      <c r="T168" s="42"/>
    </row>
    <row r="169" spans="1:20" ht="389.25" customHeight="1" x14ac:dyDescent="0.2">
      <c r="A169" s="8"/>
      <c r="B169" s="18"/>
      <c r="C169" s="19"/>
      <c r="D169" s="85" t="s">
        <v>312</v>
      </c>
      <c r="E169" s="86"/>
      <c r="F169" s="86"/>
      <c r="G169" s="87"/>
      <c r="H169" s="14" t="s">
        <v>313</v>
      </c>
      <c r="I169" s="95" t="s">
        <v>301</v>
      </c>
      <c r="J169" s="95" t="s">
        <v>16</v>
      </c>
      <c r="K169" s="95" t="s">
        <v>19</v>
      </c>
      <c r="L169" s="15" t="s">
        <v>14</v>
      </c>
      <c r="M169" s="16">
        <v>2820361</v>
      </c>
      <c r="N169" s="16">
        <f>1800+1300-152.3+0.1</f>
        <v>2947.7999999999997</v>
      </c>
      <c r="O169" s="16">
        <f t="shared" si="51"/>
        <v>2823308.8</v>
      </c>
      <c r="P169" s="97">
        <v>2823308.8</v>
      </c>
      <c r="Q169" s="97">
        <f>939.8+560-556.5-255.2-545.4+326-86.4-970.5-27.1+11737.7+15766.5+9245.7+2500-590-1047.4+2871.3</f>
        <v>39868.500000000007</v>
      </c>
      <c r="R169" s="97">
        <f t="shared" si="52"/>
        <v>2863177.3</v>
      </c>
      <c r="S169" s="99" t="s">
        <v>422</v>
      </c>
      <c r="T169" s="42"/>
    </row>
    <row r="170" spans="1:20" ht="138.75" customHeight="1" x14ac:dyDescent="0.2">
      <c r="A170" s="8"/>
      <c r="B170" s="18"/>
      <c r="C170" s="19"/>
      <c r="D170" s="88"/>
      <c r="E170" s="89"/>
      <c r="F170" s="89"/>
      <c r="G170" s="90"/>
      <c r="H170" s="14"/>
      <c r="I170" s="96"/>
      <c r="J170" s="96"/>
      <c r="K170" s="96"/>
      <c r="L170" s="15"/>
      <c r="M170" s="16"/>
      <c r="N170" s="16"/>
      <c r="O170" s="16"/>
      <c r="P170" s="98"/>
      <c r="Q170" s="98"/>
      <c r="R170" s="98"/>
      <c r="S170" s="100"/>
      <c r="T170" s="42"/>
    </row>
    <row r="171" spans="1:20" ht="47.25" customHeight="1" x14ac:dyDescent="0.2">
      <c r="A171" s="8"/>
      <c r="B171" s="18"/>
      <c r="C171" s="19"/>
      <c r="D171" s="81" t="s">
        <v>314</v>
      </c>
      <c r="E171" s="81"/>
      <c r="F171" s="81"/>
      <c r="G171" s="81"/>
      <c r="H171" s="14" t="s">
        <v>315</v>
      </c>
      <c r="I171" s="15" t="s">
        <v>301</v>
      </c>
      <c r="J171" s="15" t="s">
        <v>16</v>
      </c>
      <c r="K171" s="15" t="s">
        <v>22</v>
      </c>
      <c r="L171" s="15" t="s">
        <v>14</v>
      </c>
      <c r="M171" s="16">
        <v>36522</v>
      </c>
      <c r="N171" s="16"/>
      <c r="O171" s="16">
        <f t="shared" si="51"/>
        <v>36522</v>
      </c>
      <c r="P171" s="16">
        <v>36522</v>
      </c>
      <c r="Q171" s="16"/>
      <c r="R171" s="16">
        <f t="shared" si="52"/>
        <v>36522</v>
      </c>
      <c r="S171" s="17"/>
      <c r="T171" s="42"/>
    </row>
    <row r="172" spans="1:20" ht="57.75" customHeight="1" x14ac:dyDescent="0.2">
      <c r="A172" s="8"/>
      <c r="B172" s="18"/>
      <c r="C172" s="19"/>
      <c r="D172" s="81" t="s">
        <v>316</v>
      </c>
      <c r="E172" s="81"/>
      <c r="F172" s="81"/>
      <c r="G172" s="81"/>
      <c r="H172" s="14" t="s">
        <v>317</v>
      </c>
      <c r="I172" s="15" t="s">
        <v>301</v>
      </c>
      <c r="J172" s="15" t="s">
        <v>16</v>
      </c>
      <c r="K172" s="15" t="s">
        <v>25</v>
      </c>
      <c r="L172" s="15" t="s">
        <v>14</v>
      </c>
      <c r="M172" s="16">
        <v>11714.6</v>
      </c>
      <c r="N172" s="16"/>
      <c r="O172" s="16">
        <f t="shared" si="51"/>
        <v>11714.6</v>
      </c>
      <c r="P172" s="16">
        <v>11714.6</v>
      </c>
      <c r="Q172" s="16">
        <v>2793.2</v>
      </c>
      <c r="R172" s="16">
        <f t="shared" si="52"/>
        <v>14507.8</v>
      </c>
      <c r="S172" s="22" t="s">
        <v>361</v>
      </c>
      <c r="T172" s="42"/>
    </row>
    <row r="173" spans="1:20" ht="30.75" customHeight="1" x14ac:dyDescent="0.2">
      <c r="A173" s="8"/>
      <c r="B173" s="18"/>
      <c r="C173" s="19"/>
      <c r="D173" s="81" t="s">
        <v>318</v>
      </c>
      <c r="E173" s="81"/>
      <c r="F173" s="81"/>
      <c r="G173" s="81"/>
      <c r="H173" s="14" t="s">
        <v>319</v>
      </c>
      <c r="I173" s="15" t="s">
        <v>301</v>
      </c>
      <c r="J173" s="15" t="s">
        <v>16</v>
      </c>
      <c r="K173" s="15" t="s">
        <v>28</v>
      </c>
      <c r="L173" s="15" t="s">
        <v>14</v>
      </c>
      <c r="M173" s="16">
        <v>8218.4</v>
      </c>
      <c r="N173" s="16"/>
      <c r="O173" s="16">
        <f t="shared" si="51"/>
        <v>8218.4</v>
      </c>
      <c r="P173" s="16">
        <v>8218.4</v>
      </c>
      <c r="Q173" s="16">
        <v>-200</v>
      </c>
      <c r="R173" s="16">
        <f t="shared" si="52"/>
        <v>8018.4</v>
      </c>
      <c r="S173" s="26" t="s">
        <v>417</v>
      </c>
      <c r="T173" s="42"/>
    </row>
    <row r="174" spans="1:20" ht="120.75" customHeight="1" x14ac:dyDescent="0.2">
      <c r="A174" s="8"/>
      <c r="B174" s="18"/>
      <c r="C174" s="19"/>
      <c r="D174" s="81" t="s">
        <v>320</v>
      </c>
      <c r="E174" s="81"/>
      <c r="F174" s="81"/>
      <c r="G174" s="81"/>
      <c r="H174" s="14" t="s">
        <v>321</v>
      </c>
      <c r="I174" s="15" t="s">
        <v>301</v>
      </c>
      <c r="J174" s="15" t="s">
        <v>16</v>
      </c>
      <c r="K174" s="15" t="s">
        <v>63</v>
      </c>
      <c r="L174" s="15" t="s">
        <v>14</v>
      </c>
      <c r="M174" s="16">
        <v>19411</v>
      </c>
      <c r="N174" s="16">
        <v>-100</v>
      </c>
      <c r="O174" s="16">
        <f t="shared" si="51"/>
        <v>19311</v>
      </c>
      <c r="P174" s="16">
        <v>19311</v>
      </c>
      <c r="Q174" s="16">
        <f>970.5+2513.6+248.6</f>
        <v>3732.7</v>
      </c>
      <c r="R174" s="16">
        <f t="shared" si="52"/>
        <v>23043.7</v>
      </c>
      <c r="S174" s="26" t="s">
        <v>409</v>
      </c>
      <c r="T174" s="42"/>
    </row>
    <row r="175" spans="1:20" ht="154.5" customHeight="1" x14ac:dyDescent="0.2">
      <c r="A175" s="8"/>
      <c r="B175" s="18"/>
      <c r="C175" s="19"/>
      <c r="D175" s="81" t="s">
        <v>322</v>
      </c>
      <c r="E175" s="81"/>
      <c r="F175" s="81"/>
      <c r="G175" s="81"/>
      <c r="H175" s="14" t="s">
        <v>323</v>
      </c>
      <c r="I175" s="15" t="s">
        <v>301</v>
      </c>
      <c r="J175" s="15" t="s">
        <v>16</v>
      </c>
      <c r="K175" s="15" t="s">
        <v>66</v>
      </c>
      <c r="L175" s="15" t="s">
        <v>14</v>
      </c>
      <c r="M175" s="16">
        <v>197763.5</v>
      </c>
      <c r="N175" s="16"/>
      <c r="O175" s="16">
        <f t="shared" si="51"/>
        <v>197763.5</v>
      </c>
      <c r="P175" s="16">
        <v>197763.5</v>
      </c>
      <c r="Q175" s="16">
        <f>-11789.1+10402.6-722.9-3102.2</f>
        <v>-5211.6000000000004</v>
      </c>
      <c r="R175" s="16">
        <f t="shared" si="52"/>
        <v>192551.9</v>
      </c>
      <c r="S175" s="26" t="s">
        <v>410</v>
      </c>
      <c r="T175" s="42"/>
    </row>
    <row r="176" spans="1:20" ht="36" customHeight="1" x14ac:dyDescent="0.2">
      <c r="A176" s="8"/>
      <c r="B176" s="18"/>
      <c r="C176" s="19"/>
      <c r="D176" s="81" t="s">
        <v>324</v>
      </c>
      <c r="E176" s="81"/>
      <c r="F176" s="81"/>
      <c r="G176" s="81"/>
      <c r="H176" s="14" t="s">
        <v>325</v>
      </c>
      <c r="I176" s="15" t="s">
        <v>301</v>
      </c>
      <c r="J176" s="15" t="s">
        <v>16</v>
      </c>
      <c r="K176" s="15" t="s">
        <v>107</v>
      </c>
      <c r="L176" s="15" t="s">
        <v>14</v>
      </c>
      <c r="M176" s="16">
        <v>58423.8</v>
      </c>
      <c r="N176" s="16"/>
      <c r="O176" s="16">
        <f t="shared" si="51"/>
        <v>58423.8</v>
      </c>
      <c r="P176" s="16">
        <v>58423.8</v>
      </c>
      <c r="Q176" s="16">
        <v>3330</v>
      </c>
      <c r="R176" s="16">
        <f t="shared" si="52"/>
        <v>61753.8</v>
      </c>
      <c r="S176" s="50" t="s">
        <v>382</v>
      </c>
      <c r="T176" s="42"/>
    </row>
    <row r="177" spans="1:22" ht="224.25" customHeight="1" x14ac:dyDescent="0.2">
      <c r="A177" s="8"/>
      <c r="B177" s="18"/>
      <c r="C177" s="19"/>
      <c r="D177" s="43"/>
      <c r="E177" s="43"/>
      <c r="F177" s="43"/>
      <c r="G177" s="43" t="s">
        <v>326</v>
      </c>
      <c r="H177" s="43"/>
      <c r="I177" s="15" t="s">
        <v>301</v>
      </c>
      <c r="J177" s="15" t="s">
        <v>16</v>
      </c>
      <c r="K177" s="15">
        <v>18</v>
      </c>
      <c r="L177" s="15"/>
      <c r="M177" s="16">
        <v>0</v>
      </c>
      <c r="N177" s="16">
        <f>1064.7+5165.6+6570.4</f>
        <v>12800.7</v>
      </c>
      <c r="O177" s="16">
        <f t="shared" si="51"/>
        <v>12800.7</v>
      </c>
      <c r="P177" s="16">
        <v>12800.7</v>
      </c>
      <c r="Q177" s="16">
        <f>556.5+86.4+545.4-390-690.7-546.5+1047.4-1389.4</f>
        <v>-780.90000000000009</v>
      </c>
      <c r="R177" s="16">
        <f t="shared" si="52"/>
        <v>12019.800000000001</v>
      </c>
      <c r="S177" s="50" t="s">
        <v>418</v>
      </c>
      <c r="T177" s="42"/>
    </row>
    <row r="178" spans="1:22" ht="66.75" customHeight="1" x14ac:dyDescent="0.2">
      <c r="A178" s="8"/>
      <c r="B178" s="18"/>
      <c r="C178" s="19"/>
      <c r="D178" s="43"/>
      <c r="E178" s="43"/>
      <c r="F178" s="43"/>
      <c r="G178" s="43" t="s">
        <v>327</v>
      </c>
      <c r="H178" s="25"/>
      <c r="I178" s="15">
        <v>25</v>
      </c>
      <c r="J178" s="15">
        <v>4</v>
      </c>
      <c r="K178" s="15">
        <v>19</v>
      </c>
      <c r="L178" s="15"/>
      <c r="M178" s="16">
        <v>0</v>
      </c>
      <c r="N178" s="16">
        <f>394+795</f>
        <v>1189</v>
      </c>
      <c r="O178" s="16">
        <f t="shared" si="51"/>
        <v>1189</v>
      </c>
      <c r="P178" s="16">
        <v>1189</v>
      </c>
      <c r="Q178" s="16">
        <f>111.8+546.5+1620.3</f>
        <v>2278.6</v>
      </c>
      <c r="R178" s="16">
        <f t="shared" si="52"/>
        <v>3467.6</v>
      </c>
      <c r="S178" s="26" t="s">
        <v>411</v>
      </c>
      <c r="T178" s="42"/>
    </row>
    <row r="179" spans="1:22" ht="89.25" customHeight="1" x14ac:dyDescent="0.2">
      <c r="A179" s="8"/>
      <c r="B179" s="18"/>
      <c r="C179" s="19"/>
      <c r="D179" s="81" t="s">
        <v>328</v>
      </c>
      <c r="E179" s="81"/>
      <c r="F179" s="81"/>
      <c r="G179" s="81"/>
      <c r="H179" s="14" t="s">
        <v>329</v>
      </c>
      <c r="I179" s="15" t="s">
        <v>301</v>
      </c>
      <c r="J179" s="15" t="s">
        <v>16</v>
      </c>
      <c r="K179" s="15" t="s">
        <v>145</v>
      </c>
      <c r="L179" s="15" t="s">
        <v>14</v>
      </c>
      <c r="M179" s="16">
        <v>3846.9</v>
      </c>
      <c r="N179" s="16"/>
      <c r="O179" s="16">
        <f t="shared" si="51"/>
        <v>3846.9</v>
      </c>
      <c r="P179" s="16">
        <v>3846.9</v>
      </c>
      <c r="Q179" s="16">
        <f>255.2-111.8+27.1+590</f>
        <v>760.5</v>
      </c>
      <c r="R179" s="16">
        <f t="shared" si="52"/>
        <v>4607.3999999999996</v>
      </c>
      <c r="S179" s="26" t="s">
        <v>412</v>
      </c>
      <c r="T179" s="42"/>
    </row>
    <row r="180" spans="1:22" ht="90" customHeight="1" x14ac:dyDescent="0.2">
      <c r="A180" s="8"/>
      <c r="B180" s="18"/>
      <c r="C180" s="19"/>
      <c r="D180" s="81" t="s">
        <v>330</v>
      </c>
      <c r="E180" s="81"/>
      <c r="F180" s="81"/>
      <c r="G180" s="81"/>
      <c r="H180" s="14" t="s">
        <v>331</v>
      </c>
      <c r="I180" s="15" t="s">
        <v>301</v>
      </c>
      <c r="J180" s="15" t="s">
        <v>16</v>
      </c>
      <c r="K180" s="15" t="s">
        <v>270</v>
      </c>
      <c r="L180" s="15" t="s">
        <v>14</v>
      </c>
      <c r="M180" s="16">
        <v>0</v>
      </c>
      <c r="N180" s="16">
        <v>7951.1</v>
      </c>
      <c r="O180" s="16">
        <f t="shared" si="51"/>
        <v>7951.1</v>
      </c>
      <c r="P180" s="16">
        <v>7951.1</v>
      </c>
      <c r="Q180" s="16">
        <f>71559.6-4184.8</f>
        <v>67374.8</v>
      </c>
      <c r="R180" s="16">
        <f t="shared" si="52"/>
        <v>75325.900000000009</v>
      </c>
      <c r="S180" s="22" t="s">
        <v>413</v>
      </c>
      <c r="T180" s="42"/>
    </row>
    <row r="181" spans="1:22" ht="56.25" customHeight="1" x14ac:dyDescent="0.2">
      <c r="A181" s="8"/>
      <c r="B181" s="18"/>
      <c r="C181" s="19"/>
      <c r="D181" s="81" t="s">
        <v>332</v>
      </c>
      <c r="E181" s="81"/>
      <c r="F181" s="81"/>
      <c r="G181" s="81"/>
      <c r="H181" s="14" t="s">
        <v>333</v>
      </c>
      <c r="I181" s="15" t="s">
        <v>301</v>
      </c>
      <c r="J181" s="15" t="s">
        <v>16</v>
      </c>
      <c r="K181" s="15" t="s">
        <v>282</v>
      </c>
      <c r="L181" s="15" t="s">
        <v>14</v>
      </c>
      <c r="M181" s="16">
        <v>110184.7</v>
      </c>
      <c r="N181" s="16">
        <v>6121.3</v>
      </c>
      <c r="O181" s="16">
        <f t="shared" si="51"/>
        <v>116306</v>
      </c>
      <c r="P181" s="16">
        <v>116306</v>
      </c>
      <c r="Q181" s="16">
        <v>-116306</v>
      </c>
      <c r="R181" s="16">
        <f t="shared" si="52"/>
        <v>0</v>
      </c>
      <c r="S181" s="22" t="s">
        <v>414</v>
      </c>
      <c r="T181" s="42"/>
    </row>
    <row r="182" spans="1:22" ht="95.25" customHeight="1" x14ac:dyDescent="0.2">
      <c r="A182" s="8"/>
      <c r="B182" s="18"/>
      <c r="C182" s="25"/>
      <c r="D182" s="27"/>
      <c r="E182" s="27"/>
      <c r="F182" s="27"/>
      <c r="G182" s="27" t="s">
        <v>334</v>
      </c>
      <c r="H182" s="14"/>
      <c r="I182" s="15" t="s">
        <v>301</v>
      </c>
      <c r="J182" s="15" t="s">
        <v>16</v>
      </c>
      <c r="K182" s="15">
        <v>24</v>
      </c>
      <c r="L182" s="15"/>
      <c r="M182" s="16">
        <v>0</v>
      </c>
      <c r="N182" s="16">
        <f>270+3940.5</f>
        <v>4210.5</v>
      </c>
      <c r="O182" s="16">
        <f t="shared" si="51"/>
        <v>4210.5</v>
      </c>
      <c r="P182" s="16">
        <v>4210.5</v>
      </c>
      <c r="Q182" s="16">
        <f>12300+900+833.8</f>
        <v>14033.8</v>
      </c>
      <c r="R182" s="16">
        <f t="shared" si="52"/>
        <v>18244.3</v>
      </c>
      <c r="S182" s="26" t="s">
        <v>415</v>
      </c>
      <c r="T182" s="42"/>
      <c r="V182" s="28"/>
    </row>
    <row r="183" spans="1:22" ht="29.25" customHeight="1" x14ac:dyDescent="0.2">
      <c r="A183" s="8"/>
      <c r="B183" s="82" t="s">
        <v>335</v>
      </c>
      <c r="C183" s="82"/>
      <c r="D183" s="82"/>
      <c r="E183" s="82"/>
      <c r="F183" s="82"/>
      <c r="G183" s="82"/>
      <c r="H183" s="23" t="s">
        <v>336</v>
      </c>
      <c r="I183" s="10" t="s">
        <v>337</v>
      </c>
      <c r="J183" s="10" t="s">
        <v>14</v>
      </c>
      <c r="K183" s="10" t="s">
        <v>14</v>
      </c>
      <c r="L183" s="10" t="s">
        <v>14</v>
      </c>
      <c r="M183" s="20">
        <f>M184</f>
        <v>52932.4</v>
      </c>
      <c r="N183" s="20">
        <f>N184</f>
        <v>10990.8</v>
      </c>
      <c r="O183" s="20">
        <f>O184</f>
        <v>63923.199999999997</v>
      </c>
      <c r="P183" s="20">
        <v>63923.199999999997</v>
      </c>
      <c r="Q183" s="20">
        <f>Q184</f>
        <v>27388.5</v>
      </c>
      <c r="R183" s="20">
        <f>R184</f>
        <v>91311.7</v>
      </c>
      <c r="S183" s="22"/>
      <c r="T183" s="42"/>
    </row>
    <row r="184" spans="1:22" ht="21" customHeight="1" x14ac:dyDescent="0.2">
      <c r="A184" s="8"/>
      <c r="B184" s="13"/>
      <c r="C184" s="81" t="s">
        <v>335</v>
      </c>
      <c r="D184" s="81"/>
      <c r="E184" s="81"/>
      <c r="F184" s="81"/>
      <c r="G184" s="81"/>
      <c r="H184" s="14" t="s">
        <v>336</v>
      </c>
      <c r="I184" s="15" t="s">
        <v>337</v>
      </c>
      <c r="J184" s="15" t="s">
        <v>338</v>
      </c>
      <c r="K184" s="15" t="s">
        <v>14</v>
      </c>
      <c r="L184" s="15" t="s">
        <v>14</v>
      </c>
      <c r="M184" s="16">
        <f>M185+M186+M187+M188+M189</f>
        <v>52932.4</v>
      </c>
      <c r="N184" s="16">
        <f>N185+N186+N187+N188+N189</f>
        <v>10990.8</v>
      </c>
      <c r="O184" s="16">
        <f>O185+O186+O187+O188+O189</f>
        <v>63923.199999999997</v>
      </c>
      <c r="P184" s="16">
        <v>63923.199999999997</v>
      </c>
      <c r="Q184" s="16">
        <f>Q185+Q186+Q187+Q188+Q189</f>
        <v>27388.5</v>
      </c>
      <c r="R184" s="16">
        <f>R185+R186+R187+R188+R189</f>
        <v>91311.7</v>
      </c>
      <c r="S184" s="22"/>
      <c r="T184" s="42"/>
    </row>
    <row r="185" spans="1:22" ht="70.5" customHeight="1" x14ac:dyDescent="0.2">
      <c r="A185" s="8"/>
      <c r="B185" s="18"/>
      <c r="C185" s="19"/>
      <c r="D185" s="81" t="s">
        <v>339</v>
      </c>
      <c r="E185" s="81"/>
      <c r="F185" s="81"/>
      <c r="G185" s="81"/>
      <c r="H185" s="14" t="s">
        <v>340</v>
      </c>
      <c r="I185" s="15" t="s">
        <v>337</v>
      </c>
      <c r="J185" s="15" t="s">
        <v>338</v>
      </c>
      <c r="K185" s="15" t="s">
        <v>13</v>
      </c>
      <c r="L185" s="15" t="s">
        <v>14</v>
      </c>
      <c r="M185" s="16">
        <v>29775.200000000001</v>
      </c>
      <c r="N185" s="16"/>
      <c r="O185" s="16">
        <f t="shared" ref="O185:O189" si="53">M185+N185</f>
        <v>29775.200000000001</v>
      </c>
      <c r="P185" s="16">
        <v>29775.200000000001</v>
      </c>
      <c r="Q185" s="16">
        <f>150+570.8+0.1</f>
        <v>720.9</v>
      </c>
      <c r="R185" s="16">
        <f t="shared" ref="R185:R188" si="54">P185+Q185</f>
        <v>30496.100000000002</v>
      </c>
      <c r="S185" s="26" t="s">
        <v>385</v>
      </c>
      <c r="T185" s="42"/>
    </row>
    <row r="186" spans="1:22" ht="36.75" customHeight="1" x14ac:dyDescent="0.2">
      <c r="A186" s="8"/>
      <c r="B186" s="18"/>
      <c r="C186" s="19"/>
      <c r="D186" s="81" t="s">
        <v>341</v>
      </c>
      <c r="E186" s="81"/>
      <c r="F186" s="81"/>
      <c r="G186" s="81"/>
      <c r="H186" s="14" t="s">
        <v>342</v>
      </c>
      <c r="I186" s="15" t="s">
        <v>337</v>
      </c>
      <c r="J186" s="15" t="s">
        <v>338</v>
      </c>
      <c r="K186" s="15" t="s">
        <v>31</v>
      </c>
      <c r="L186" s="15" t="s">
        <v>14</v>
      </c>
      <c r="M186" s="16">
        <v>1500</v>
      </c>
      <c r="N186" s="16"/>
      <c r="O186" s="16">
        <f t="shared" si="53"/>
        <v>1500</v>
      </c>
      <c r="P186" s="16">
        <v>1500</v>
      </c>
      <c r="Q186" s="16"/>
      <c r="R186" s="16">
        <f t="shared" si="54"/>
        <v>1500</v>
      </c>
      <c r="S186" s="22"/>
      <c r="T186" s="42"/>
    </row>
    <row r="187" spans="1:22" ht="153" customHeight="1" x14ac:dyDescent="0.2">
      <c r="A187" s="8"/>
      <c r="B187" s="18"/>
      <c r="C187" s="19"/>
      <c r="D187" s="81" t="s">
        <v>343</v>
      </c>
      <c r="E187" s="81"/>
      <c r="F187" s="81"/>
      <c r="G187" s="81"/>
      <c r="H187" s="14" t="s">
        <v>344</v>
      </c>
      <c r="I187" s="15" t="s">
        <v>337</v>
      </c>
      <c r="J187" s="15" t="s">
        <v>338</v>
      </c>
      <c r="K187" s="15" t="s">
        <v>42</v>
      </c>
      <c r="L187" s="15" t="s">
        <v>14</v>
      </c>
      <c r="M187" s="16">
        <v>287.5</v>
      </c>
      <c r="N187" s="16">
        <f>2486.9+45+90+30+72.6+8138+750+846.4+5292.4</f>
        <v>17751.3</v>
      </c>
      <c r="O187" s="16">
        <f t="shared" si="53"/>
        <v>18038.8</v>
      </c>
      <c r="P187" s="16">
        <v>18038.8</v>
      </c>
      <c r="Q187" s="46">
        <f>360+7950+5.8+21885.5+835+88+201.3+171.5+6500+10+87.5+112.5</f>
        <v>38207.1</v>
      </c>
      <c r="R187" s="16">
        <f t="shared" si="54"/>
        <v>56245.899999999994</v>
      </c>
      <c r="S187" s="26" t="s">
        <v>387</v>
      </c>
      <c r="T187" s="42"/>
    </row>
    <row r="188" spans="1:22" ht="33" customHeight="1" x14ac:dyDescent="0.2">
      <c r="A188" s="8"/>
      <c r="B188" s="18"/>
      <c r="C188" s="19"/>
      <c r="D188" s="81" t="s">
        <v>345</v>
      </c>
      <c r="E188" s="81"/>
      <c r="F188" s="81"/>
      <c r="G188" s="81"/>
      <c r="H188" s="14" t="s">
        <v>346</v>
      </c>
      <c r="I188" s="15" t="s">
        <v>337</v>
      </c>
      <c r="J188" s="15" t="s">
        <v>338</v>
      </c>
      <c r="K188" s="15" t="s">
        <v>52</v>
      </c>
      <c r="L188" s="15" t="s">
        <v>14</v>
      </c>
      <c r="M188" s="16">
        <v>80.2</v>
      </c>
      <c r="N188" s="16"/>
      <c r="O188" s="16">
        <f t="shared" si="53"/>
        <v>80.2</v>
      </c>
      <c r="P188" s="16">
        <v>80.2</v>
      </c>
      <c r="Q188" s="16"/>
      <c r="R188" s="16">
        <f t="shared" si="54"/>
        <v>80.2</v>
      </c>
      <c r="S188" s="22"/>
      <c r="T188" s="42"/>
    </row>
    <row r="189" spans="1:22" ht="107.25" customHeight="1" thickBot="1" x14ac:dyDescent="0.25">
      <c r="A189" s="8"/>
      <c r="B189" s="18"/>
      <c r="C189" s="19"/>
      <c r="D189" s="81" t="s">
        <v>347</v>
      </c>
      <c r="E189" s="81"/>
      <c r="F189" s="81"/>
      <c r="G189" s="91"/>
      <c r="H189" s="29" t="s">
        <v>348</v>
      </c>
      <c r="I189" s="30" t="s">
        <v>337</v>
      </c>
      <c r="J189" s="30" t="s">
        <v>338</v>
      </c>
      <c r="K189" s="30" t="s">
        <v>69</v>
      </c>
      <c r="L189" s="30" t="s">
        <v>14</v>
      </c>
      <c r="M189" s="31">
        <v>21289.5</v>
      </c>
      <c r="N189" s="31">
        <f>-1800-750-4210.5</f>
        <v>-6760.5</v>
      </c>
      <c r="O189" s="31">
        <f t="shared" si="53"/>
        <v>14529</v>
      </c>
      <c r="P189" s="31">
        <v>14529</v>
      </c>
      <c r="Q189" s="31">
        <f>-6589.5-4950</f>
        <v>-11539.5</v>
      </c>
      <c r="R189" s="31">
        <f>P189+Q189</f>
        <v>2989.5</v>
      </c>
      <c r="S189" s="22" t="s">
        <v>408</v>
      </c>
      <c r="T189" s="42"/>
    </row>
    <row r="190" spans="1:22" ht="22.5" customHeight="1" thickBot="1" x14ac:dyDescent="0.25">
      <c r="A190" s="8"/>
      <c r="B190" s="44"/>
      <c r="C190" s="35"/>
      <c r="D190" s="34"/>
      <c r="E190" s="34"/>
      <c r="F190" s="35"/>
      <c r="G190" s="92" t="s">
        <v>349</v>
      </c>
      <c r="H190" s="93"/>
      <c r="I190" s="93"/>
      <c r="J190" s="93"/>
      <c r="K190" s="93"/>
      <c r="L190" s="94"/>
      <c r="M190" s="32">
        <f>M8+M14+M20+M25+M33+M37+M55+M58+M61+M74+M78+M86+M91+M100+M113+M117+M121+M129+M140+M144+M151+M157+M163+M183</f>
        <v>7330920.2000000002</v>
      </c>
      <c r="N190" s="32">
        <f>N8+N14+N20+N25+N33+N37+N55+N58+N61+N74+N78+N86+N91+N100+N113+N117+N121+N129+N140+N144+N151+N157+N163+N183</f>
        <v>285636.3</v>
      </c>
      <c r="O190" s="32">
        <f>O8+O14+O20+O25+O33+O37+O55+O58+O61+O74+O78+O86+O91+O100+O113+O117+O121+O129+O140+O144+O151+O157+O163+O183</f>
        <v>7616556.5000000009</v>
      </c>
      <c r="P190" s="32">
        <v>7616556.5000000009</v>
      </c>
      <c r="Q190" s="32">
        <f>Q8+Q14+Q20+Q25+Q33+Q37+Q55+Q58+Q61+Q74+Q78+Q86+Q91+Q100+Q113+Q117+Q121+Q129+Q140+Q144+Q151+Q157+Q163+Q183</f>
        <v>1036096.5999999999</v>
      </c>
      <c r="R190" s="32">
        <f>R8+R14+R20+R25+R33+R37+R55+R58+R61+R74+R78+R86+R91+R100+R113+R117+R121+R129+R140+R144+R151+R157+R163+R183</f>
        <v>8652653.0999999996</v>
      </c>
      <c r="S190" s="33"/>
      <c r="T190" s="42"/>
    </row>
    <row r="191" spans="1:22" ht="12.75" hidden="1" customHeight="1" x14ac:dyDescent="0.2">
      <c r="A191" s="8"/>
      <c r="B191" s="44"/>
      <c r="C191" s="35"/>
      <c r="D191" s="35"/>
      <c r="E191" s="35"/>
      <c r="F191" s="35"/>
      <c r="G191" s="35"/>
      <c r="H191" s="36">
        <v>0</v>
      </c>
      <c r="I191" s="36">
        <v>0</v>
      </c>
      <c r="J191" s="37">
        <v>0</v>
      </c>
      <c r="K191" s="37"/>
      <c r="L191" s="37">
        <v>0</v>
      </c>
      <c r="M191" s="38">
        <v>0</v>
      </c>
      <c r="N191" s="38">
        <v>0</v>
      </c>
      <c r="O191" s="38">
        <v>0</v>
      </c>
      <c r="P191" s="38"/>
      <c r="Q191" s="38"/>
      <c r="R191" s="38"/>
      <c r="S191" s="39">
        <v>0</v>
      </c>
      <c r="T191" s="7"/>
    </row>
    <row r="192" spans="1:22" ht="12.75" customHeight="1" x14ac:dyDescent="0.2">
      <c r="A192" s="4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1"/>
      <c r="N192" s="41"/>
      <c r="O192" s="41"/>
      <c r="P192" s="6"/>
      <c r="Q192" s="6"/>
      <c r="R192" s="6"/>
      <c r="S192" s="4"/>
      <c r="T192" s="4"/>
    </row>
  </sheetData>
  <mergeCells count="198">
    <mergeCell ref="I169:I170"/>
    <mergeCell ref="J169:J170"/>
    <mergeCell ref="K169:K170"/>
    <mergeCell ref="P169:P170"/>
    <mergeCell ref="Q169:Q170"/>
    <mergeCell ref="R169:R170"/>
    <mergeCell ref="S169:S170"/>
    <mergeCell ref="D187:G187"/>
    <mergeCell ref="D188:G188"/>
    <mergeCell ref="D189:G189"/>
    <mergeCell ref="G190:L190"/>
    <mergeCell ref="D175:G175"/>
    <mergeCell ref="D176:G176"/>
    <mergeCell ref="D179:G179"/>
    <mergeCell ref="D180:G180"/>
    <mergeCell ref="D181:G181"/>
    <mergeCell ref="B183:G183"/>
    <mergeCell ref="C184:G184"/>
    <mergeCell ref="D185:G185"/>
    <mergeCell ref="D186:G186"/>
    <mergeCell ref="D165:G165"/>
    <mergeCell ref="D166:G166"/>
    <mergeCell ref="C167:G167"/>
    <mergeCell ref="D168:G168"/>
    <mergeCell ref="D171:G171"/>
    <mergeCell ref="D172:G172"/>
    <mergeCell ref="D173:G173"/>
    <mergeCell ref="D174:G174"/>
    <mergeCell ref="D169:G170"/>
    <mergeCell ref="D156:G156"/>
    <mergeCell ref="B157:G157"/>
    <mergeCell ref="C158:G158"/>
    <mergeCell ref="D159:G159"/>
    <mergeCell ref="D160:G160"/>
    <mergeCell ref="D161:G161"/>
    <mergeCell ref="D162:G162"/>
    <mergeCell ref="B163:G163"/>
    <mergeCell ref="C164:G164"/>
    <mergeCell ref="D146:G146"/>
    <mergeCell ref="D147:G147"/>
    <mergeCell ref="D148:G148"/>
    <mergeCell ref="D149:G149"/>
    <mergeCell ref="D150:G150"/>
    <mergeCell ref="B151:G151"/>
    <mergeCell ref="C152:G152"/>
    <mergeCell ref="D153:G153"/>
    <mergeCell ref="C154:G154"/>
    <mergeCell ref="D137:G137"/>
    <mergeCell ref="D138:G138"/>
    <mergeCell ref="D139:G139"/>
    <mergeCell ref="B140:G140"/>
    <mergeCell ref="C141:G141"/>
    <mergeCell ref="D142:G142"/>
    <mergeCell ref="D143:G143"/>
    <mergeCell ref="B144:G144"/>
    <mergeCell ref="C145:G145"/>
    <mergeCell ref="D127:G127"/>
    <mergeCell ref="D128:G128"/>
    <mergeCell ref="B129:G129"/>
    <mergeCell ref="C130:G130"/>
    <mergeCell ref="D131:G131"/>
    <mergeCell ref="D132:G132"/>
    <mergeCell ref="D133:G133"/>
    <mergeCell ref="D134:G134"/>
    <mergeCell ref="D136:G136"/>
    <mergeCell ref="C118:G118"/>
    <mergeCell ref="D119:G119"/>
    <mergeCell ref="D120:G120"/>
    <mergeCell ref="B121:G121"/>
    <mergeCell ref="C122:G122"/>
    <mergeCell ref="D123:G123"/>
    <mergeCell ref="D124:G124"/>
    <mergeCell ref="D125:G125"/>
    <mergeCell ref="D126:G126"/>
    <mergeCell ref="D108:G108"/>
    <mergeCell ref="D110:G110"/>
    <mergeCell ref="D111:G111"/>
    <mergeCell ref="D112:G112"/>
    <mergeCell ref="B113:G113"/>
    <mergeCell ref="C114:G114"/>
    <mergeCell ref="D115:G115"/>
    <mergeCell ref="D116:G116"/>
    <mergeCell ref="B117:G117"/>
    <mergeCell ref="D99:G99"/>
    <mergeCell ref="B100:G100"/>
    <mergeCell ref="C101:G101"/>
    <mergeCell ref="D102:G102"/>
    <mergeCell ref="C103:G103"/>
    <mergeCell ref="D104:G104"/>
    <mergeCell ref="D105:G105"/>
    <mergeCell ref="D106:G106"/>
    <mergeCell ref="D107:G107"/>
    <mergeCell ref="D90:G90"/>
    <mergeCell ref="B91:G91"/>
    <mergeCell ref="C92:G92"/>
    <mergeCell ref="D93:G93"/>
    <mergeCell ref="D94:G94"/>
    <mergeCell ref="D95:G95"/>
    <mergeCell ref="D96:G96"/>
    <mergeCell ref="D97:G97"/>
    <mergeCell ref="C98:G98"/>
    <mergeCell ref="C81:G81"/>
    <mergeCell ref="D82:G82"/>
    <mergeCell ref="C83:G83"/>
    <mergeCell ref="D84:G84"/>
    <mergeCell ref="D85:G85"/>
    <mergeCell ref="B86:G86"/>
    <mergeCell ref="C87:G87"/>
    <mergeCell ref="D88:G88"/>
    <mergeCell ref="D89:G89"/>
    <mergeCell ref="D72:G72"/>
    <mergeCell ref="D73:G73"/>
    <mergeCell ref="B74:G74"/>
    <mergeCell ref="C75:G75"/>
    <mergeCell ref="D76:G76"/>
    <mergeCell ref="D77:G77"/>
    <mergeCell ref="B78:G78"/>
    <mergeCell ref="C79:G79"/>
    <mergeCell ref="D80:G80"/>
    <mergeCell ref="D63:G63"/>
    <mergeCell ref="E64:G64"/>
    <mergeCell ref="C65:G65"/>
    <mergeCell ref="D66:G66"/>
    <mergeCell ref="D67:G67"/>
    <mergeCell ref="D68:G68"/>
    <mergeCell ref="D69:G69"/>
    <mergeCell ref="D70:G70"/>
    <mergeCell ref="D71:G71"/>
    <mergeCell ref="D53:G53"/>
    <mergeCell ref="B55:G55"/>
    <mergeCell ref="C56:G56"/>
    <mergeCell ref="D57:G57"/>
    <mergeCell ref="B58:G58"/>
    <mergeCell ref="C59:G59"/>
    <mergeCell ref="D60:G60"/>
    <mergeCell ref="B61:G61"/>
    <mergeCell ref="C62:G62"/>
    <mergeCell ref="D44:G44"/>
    <mergeCell ref="C45:G45"/>
    <mergeCell ref="D46:G46"/>
    <mergeCell ref="D47:G47"/>
    <mergeCell ref="D48:G48"/>
    <mergeCell ref="D49:G49"/>
    <mergeCell ref="D50:G50"/>
    <mergeCell ref="D51:G51"/>
    <mergeCell ref="D52:G52"/>
    <mergeCell ref="D35:G35"/>
    <mergeCell ref="D36:G36"/>
    <mergeCell ref="B37:G37"/>
    <mergeCell ref="C38:G38"/>
    <mergeCell ref="D39:G39"/>
    <mergeCell ref="E40:G40"/>
    <mergeCell ref="F41:G41"/>
    <mergeCell ref="C42:G42"/>
    <mergeCell ref="D43:G43"/>
    <mergeCell ref="C26:G26"/>
    <mergeCell ref="D27:G27"/>
    <mergeCell ref="D28:G28"/>
    <mergeCell ref="D29:G29"/>
    <mergeCell ref="D30:G30"/>
    <mergeCell ref="D31:G31"/>
    <mergeCell ref="D32:G32"/>
    <mergeCell ref="B33:G33"/>
    <mergeCell ref="C34:G34"/>
    <mergeCell ref="D17:G17"/>
    <mergeCell ref="D18:G18"/>
    <mergeCell ref="D19:G19"/>
    <mergeCell ref="B20:G20"/>
    <mergeCell ref="C21:G21"/>
    <mergeCell ref="D22:G22"/>
    <mergeCell ref="C23:G23"/>
    <mergeCell ref="D24:G24"/>
    <mergeCell ref="B25:G25"/>
    <mergeCell ref="B8:G8"/>
    <mergeCell ref="C9:G9"/>
    <mergeCell ref="D10:G10"/>
    <mergeCell ref="D11:G11"/>
    <mergeCell ref="D12:G12"/>
    <mergeCell ref="D13:G13"/>
    <mergeCell ref="B14:G14"/>
    <mergeCell ref="C15:G15"/>
    <mergeCell ref="D16:G16"/>
    <mergeCell ref="G3:S3"/>
    <mergeCell ref="B5:B7"/>
    <mergeCell ref="C5:C7"/>
    <mergeCell ref="D5:D7"/>
    <mergeCell ref="E5:E7"/>
    <mergeCell ref="F5:F7"/>
    <mergeCell ref="G5:G7"/>
    <mergeCell ref="H5:H7"/>
    <mergeCell ref="I5:L7"/>
    <mergeCell ref="M5:M7"/>
    <mergeCell ref="N5:N7"/>
    <mergeCell ref="O5:O7"/>
    <mergeCell ref="P5:P7"/>
    <mergeCell ref="Q5:Q7"/>
    <mergeCell ref="R5:R7"/>
    <mergeCell ref="S5:S7"/>
  </mergeCells>
  <pageMargins left="0.78740157480314965" right="0.39370078740157483" top="0.78740157480314965" bottom="0.78740157480314965" header="0.51181102362204722" footer="0.51181102362204722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</vt:lpstr>
      <vt:lpstr>прил.!Print_Titles</vt:lpstr>
      <vt:lpstr>прил.!Область_печати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Равхатова Лариса Набиулловна</dc:creator>
  <cp:lastModifiedBy>Равхатова Лариса Набиулловна</cp:lastModifiedBy>
  <cp:revision>2</cp:revision>
  <cp:lastPrinted>2025-09-19T05:02:16Z</cp:lastPrinted>
  <dcterms:created xsi:type="dcterms:W3CDTF">2024-12-03T10:22:26Z</dcterms:created>
  <dcterms:modified xsi:type="dcterms:W3CDTF">2025-09-19T05:56:25Z</dcterms:modified>
</cp:coreProperties>
</file>