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14.12.2021 Уточнение бюджета\ПРД_изм-бюджет21-23_декабрь\"/>
    </mc:Choice>
  </mc:AlternateContent>
  <bookViews>
    <workbookView xWindow="0" yWindow="0" windowWidth="18660" windowHeight="10785"/>
  </bookViews>
  <sheets>
    <sheet name="Бюджет_3" sheetId="2" r:id="rId1"/>
  </sheets>
  <definedNames>
    <definedName name="_xlnm.Print_Titles" localSheetId="0">Бюджет_3!$5:$7</definedName>
    <definedName name="_xlnm.Print_Area" localSheetId="0">Бюджет_3!$D$1:$Z$200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2" i="2" l="1"/>
  <c r="V145" i="2" l="1"/>
  <c r="V144" i="2"/>
  <c r="V133" i="2" l="1"/>
  <c r="V141" i="2"/>
  <c r="X144" i="2"/>
  <c r="V200" i="2" l="1"/>
  <c r="X199" i="2"/>
  <c r="V199" i="2"/>
  <c r="U199" i="2"/>
  <c r="R199" i="2"/>
  <c r="O199" i="2"/>
  <c r="X198" i="2"/>
  <c r="V198" i="2"/>
  <c r="U198" i="2"/>
  <c r="R198" i="2"/>
  <c r="O198" i="2"/>
  <c r="X197" i="2"/>
  <c r="W197" i="2"/>
  <c r="V197" i="2"/>
  <c r="U197" i="2"/>
  <c r="T197" i="2"/>
  <c r="R197" i="2"/>
  <c r="Q197" i="2"/>
  <c r="O197" i="2"/>
  <c r="X196" i="2"/>
  <c r="V196" i="2"/>
  <c r="U196" i="2"/>
  <c r="T196" i="2"/>
  <c r="R196" i="2"/>
  <c r="Q196" i="2"/>
  <c r="O196" i="2"/>
  <c r="N196" i="2"/>
  <c r="X195" i="2"/>
  <c r="V195" i="2"/>
  <c r="U195" i="2"/>
  <c r="T195" i="2"/>
  <c r="R195" i="2"/>
  <c r="O195" i="2"/>
  <c r="X194" i="2"/>
  <c r="V194" i="2"/>
  <c r="U194" i="2"/>
  <c r="T194" i="2"/>
  <c r="R194" i="2"/>
  <c r="O194" i="2"/>
  <c r="X193" i="2"/>
  <c r="V193" i="2"/>
  <c r="U193" i="2"/>
  <c r="T193" i="2"/>
  <c r="R193" i="2"/>
  <c r="O193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X190" i="2"/>
  <c r="V190" i="2"/>
  <c r="U190" i="2"/>
  <c r="R190" i="2"/>
  <c r="Q190" i="2"/>
  <c r="O190" i="2"/>
  <c r="N190" i="2"/>
  <c r="X189" i="2"/>
  <c r="V189" i="2"/>
  <c r="U189" i="2"/>
  <c r="X188" i="2"/>
  <c r="V188" i="2"/>
  <c r="U188" i="2"/>
  <c r="R188" i="2"/>
  <c r="X187" i="2"/>
  <c r="V187" i="2"/>
  <c r="U187" i="2"/>
  <c r="T187" i="2"/>
  <c r="R187" i="2"/>
  <c r="O187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X185" i="2"/>
  <c r="W185" i="2"/>
  <c r="V185" i="2"/>
  <c r="U185" i="2"/>
  <c r="R185" i="2"/>
  <c r="Q185" i="2"/>
  <c r="O185" i="2"/>
  <c r="X184" i="2"/>
  <c r="U184" i="2"/>
  <c r="T184" i="2"/>
  <c r="R184" i="2"/>
  <c r="X183" i="2"/>
  <c r="V183" i="2"/>
  <c r="U183" i="2"/>
  <c r="T183" i="2"/>
  <c r="R183" i="2"/>
  <c r="Q183" i="2"/>
  <c r="X182" i="2"/>
  <c r="V182" i="2"/>
  <c r="U182" i="2"/>
  <c r="T182" i="2"/>
  <c r="R182" i="2"/>
  <c r="Q182" i="2"/>
  <c r="X181" i="2"/>
  <c r="V181" i="2"/>
  <c r="U181" i="2"/>
  <c r="T181" i="2"/>
  <c r="R181" i="2"/>
  <c r="Q181" i="2"/>
  <c r="O181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X178" i="2"/>
  <c r="V178" i="2"/>
  <c r="U178" i="2"/>
  <c r="T178" i="2"/>
  <c r="R178" i="2"/>
  <c r="O178" i="2"/>
  <c r="X177" i="2"/>
  <c r="W177" i="2"/>
  <c r="V177" i="2"/>
  <c r="U177" i="2"/>
  <c r="T177" i="2"/>
  <c r="R177" i="2"/>
  <c r="Q177" i="2"/>
  <c r="O177" i="2"/>
  <c r="X176" i="2"/>
  <c r="V176" i="2"/>
  <c r="U176" i="2"/>
  <c r="T176" i="2"/>
  <c r="R176" i="2"/>
  <c r="Q176" i="2"/>
  <c r="O176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X174" i="2"/>
  <c r="V174" i="2"/>
  <c r="U174" i="2"/>
  <c r="R174" i="2"/>
  <c r="O174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X172" i="2"/>
  <c r="V172" i="2"/>
  <c r="U172" i="2"/>
  <c r="R172" i="2"/>
  <c r="O172" i="2"/>
  <c r="X171" i="2"/>
  <c r="W171" i="2"/>
  <c r="V171" i="2"/>
  <c r="U171" i="2"/>
  <c r="T171" i="2"/>
  <c r="R171" i="2"/>
  <c r="Q171" i="2"/>
  <c r="O171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X168" i="2"/>
  <c r="V168" i="2"/>
  <c r="U168" i="2"/>
  <c r="T168" i="2"/>
  <c r="R168" i="2"/>
  <c r="Q168" i="2"/>
  <c r="O168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X166" i="2"/>
  <c r="V166" i="2"/>
  <c r="U166" i="2"/>
  <c r="T166" i="2"/>
  <c r="R166" i="2"/>
  <c r="O166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X164" i="2"/>
  <c r="W164" i="2"/>
  <c r="V164" i="2"/>
  <c r="U164" i="2"/>
  <c r="R164" i="2"/>
  <c r="O164" i="2"/>
  <c r="X163" i="2"/>
  <c r="W163" i="2"/>
  <c r="V163" i="2"/>
  <c r="U163" i="2"/>
  <c r="T163" i="2"/>
  <c r="R163" i="2"/>
  <c r="Q163" i="2"/>
  <c r="O163" i="2"/>
  <c r="X162" i="2"/>
  <c r="W162" i="2"/>
  <c r="V162" i="2"/>
  <c r="U162" i="2"/>
  <c r="R162" i="2"/>
  <c r="O162" i="2"/>
  <c r="N162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X160" i="2"/>
  <c r="V160" i="2"/>
  <c r="U160" i="2"/>
  <c r="R160" i="2"/>
  <c r="O160" i="2"/>
  <c r="X159" i="2"/>
  <c r="V159" i="2"/>
  <c r="U159" i="2"/>
  <c r="R159" i="2"/>
  <c r="O159" i="2"/>
  <c r="X158" i="2"/>
  <c r="V158" i="2"/>
  <c r="U158" i="2"/>
  <c r="T158" i="2"/>
  <c r="R158" i="2"/>
  <c r="O158" i="2"/>
  <c r="X157" i="2"/>
  <c r="V157" i="2"/>
  <c r="U157" i="2"/>
  <c r="T157" i="2"/>
  <c r="X156" i="2"/>
  <c r="W156" i="2"/>
  <c r="V156" i="2"/>
  <c r="U156" i="2"/>
  <c r="T156" i="2"/>
  <c r="R156" i="2"/>
  <c r="Q156" i="2"/>
  <c r="O156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X154" i="2"/>
  <c r="W154" i="2"/>
  <c r="V154" i="2"/>
  <c r="U154" i="2"/>
  <c r="X153" i="2"/>
  <c r="W153" i="2"/>
  <c r="V153" i="2"/>
  <c r="U153" i="2"/>
  <c r="T153" i="2"/>
  <c r="R153" i="2"/>
  <c r="O153" i="2"/>
  <c r="N153" i="2"/>
  <c r="X152" i="2"/>
  <c r="V152" i="2"/>
  <c r="U152" i="2"/>
  <c r="T152" i="2"/>
  <c r="R152" i="2"/>
  <c r="O152" i="2"/>
  <c r="N152" i="2"/>
  <c r="X151" i="2"/>
  <c r="W151" i="2"/>
  <c r="V151" i="2"/>
  <c r="U151" i="2"/>
  <c r="R151" i="2"/>
  <c r="O151" i="2"/>
  <c r="X150" i="2"/>
  <c r="V150" i="2"/>
  <c r="U150" i="2"/>
  <c r="T150" i="2"/>
  <c r="R150" i="2"/>
  <c r="O150" i="2"/>
  <c r="X149" i="2"/>
  <c r="W149" i="2"/>
  <c r="V149" i="2"/>
  <c r="U149" i="2"/>
  <c r="T149" i="2"/>
  <c r="R149" i="2"/>
  <c r="O149" i="2"/>
  <c r="X148" i="2"/>
  <c r="W148" i="2"/>
  <c r="U148" i="2"/>
  <c r="T148" i="2"/>
  <c r="R148" i="2"/>
  <c r="Q148" i="2"/>
  <c r="O148" i="2"/>
  <c r="N148" i="2"/>
  <c r="X147" i="2"/>
  <c r="W147" i="2"/>
  <c r="V147" i="2"/>
  <c r="U147" i="2"/>
  <c r="T147" i="2"/>
  <c r="R147" i="2"/>
  <c r="Q147" i="2"/>
  <c r="O147" i="2"/>
  <c r="X145" i="2"/>
  <c r="W145" i="2"/>
  <c r="U145" i="2"/>
  <c r="T145" i="2"/>
  <c r="S145" i="2"/>
  <c r="R145" i="2"/>
  <c r="Q145" i="2"/>
  <c r="P145" i="2"/>
  <c r="O145" i="2"/>
  <c r="N145" i="2"/>
  <c r="M145" i="2"/>
  <c r="W144" i="2"/>
  <c r="U144" i="2"/>
  <c r="T144" i="2"/>
  <c r="S144" i="2"/>
  <c r="R144" i="2"/>
  <c r="Q144" i="2"/>
  <c r="P144" i="2"/>
  <c r="O144" i="2"/>
  <c r="N144" i="2"/>
  <c r="M144" i="2"/>
  <c r="X143" i="2"/>
  <c r="W143" i="2"/>
  <c r="V143" i="2"/>
  <c r="U143" i="2"/>
  <c r="T143" i="2"/>
  <c r="R143" i="2"/>
  <c r="O143" i="2"/>
  <c r="N143" i="2"/>
  <c r="X142" i="2"/>
  <c r="V142" i="2"/>
  <c r="U142" i="2"/>
  <c r="R142" i="2"/>
  <c r="O142" i="2"/>
  <c r="X141" i="2"/>
  <c r="W141" i="2"/>
  <c r="U141" i="2"/>
  <c r="T141" i="2"/>
  <c r="S141" i="2"/>
  <c r="R141" i="2"/>
  <c r="Q141" i="2"/>
  <c r="P141" i="2"/>
  <c r="O141" i="2"/>
  <c r="N141" i="2"/>
  <c r="M141" i="2"/>
  <c r="X140" i="2"/>
  <c r="V140" i="2"/>
  <c r="U140" i="2"/>
  <c r="R140" i="2"/>
  <c r="O140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X138" i="2"/>
  <c r="V138" i="2"/>
  <c r="U138" i="2"/>
  <c r="R138" i="2"/>
  <c r="O138" i="2"/>
  <c r="X137" i="2"/>
  <c r="V137" i="2"/>
  <c r="U137" i="2"/>
  <c r="R137" i="2"/>
  <c r="O137" i="2"/>
  <c r="X136" i="2"/>
  <c r="V136" i="2"/>
  <c r="U136" i="2"/>
  <c r="R136" i="2"/>
  <c r="O136" i="2"/>
  <c r="X135" i="2"/>
  <c r="V135" i="2"/>
  <c r="U135" i="2"/>
  <c r="R135" i="2"/>
  <c r="O135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X133" i="2"/>
  <c r="W133" i="2"/>
  <c r="U133" i="2"/>
  <c r="T133" i="2"/>
  <c r="S133" i="2"/>
  <c r="R133" i="2"/>
  <c r="Q133" i="2"/>
  <c r="P133" i="2"/>
  <c r="O133" i="2"/>
  <c r="N133" i="2"/>
  <c r="M133" i="2"/>
  <c r="X132" i="2"/>
  <c r="V132" i="2"/>
  <c r="U132" i="2"/>
  <c r="R132" i="2"/>
  <c r="X131" i="2"/>
  <c r="V131" i="2"/>
  <c r="U131" i="2"/>
  <c r="R131" i="2"/>
  <c r="X130" i="2"/>
  <c r="V130" i="2"/>
  <c r="U130" i="2"/>
  <c r="R130" i="2"/>
  <c r="Q130" i="2"/>
  <c r="O130" i="2"/>
  <c r="W129" i="2"/>
  <c r="V129" i="2"/>
  <c r="U129" i="2"/>
  <c r="T129" i="2"/>
  <c r="S129" i="2"/>
  <c r="R129" i="2"/>
  <c r="Q129" i="2"/>
  <c r="P129" i="2"/>
  <c r="O129" i="2"/>
  <c r="N129" i="2"/>
  <c r="M129" i="2"/>
  <c r="X128" i="2"/>
  <c r="V128" i="2"/>
  <c r="U128" i="2"/>
  <c r="R128" i="2"/>
  <c r="O128" i="2"/>
  <c r="X127" i="2"/>
  <c r="V127" i="2"/>
  <c r="U127" i="2"/>
  <c r="T127" i="2"/>
  <c r="R127" i="2"/>
  <c r="O127" i="2"/>
  <c r="X126" i="2"/>
  <c r="V126" i="2"/>
  <c r="U126" i="2"/>
  <c r="R126" i="2"/>
  <c r="O126" i="2"/>
  <c r="X125" i="2"/>
  <c r="V125" i="2"/>
  <c r="U125" i="2"/>
  <c r="T125" i="2"/>
  <c r="R125" i="2"/>
  <c r="O125" i="2"/>
  <c r="W124" i="2"/>
  <c r="V124" i="2"/>
  <c r="U124" i="2"/>
  <c r="T124" i="2"/>
  <c r="S124" i="2"/>
  <c r="R124" i="2"/>
  <c r="Q124" i="2"/>
  <c r="P124" i="2"/>
  <c r="O124" i="2"/>
  <c r="N124" i="2"/>
  <c r="M124" i="2"/>
  <c r="W123" i="2"/>
  <c r="V123" i="2"/>
  <c r="U123" i="2"/>
  <c r="T123" i="2"/>
  <c r="S123" i="2"/>
  <c r="R123" i="2"/>
  <c r="Q123" i="2"/>
  <c r="P123" i="2"/>
  <c r="O123" i="2"/>
  <c r="N123" i="2"/>
  <c r="M123" i="2"/>
  <c r="X122" i="2"/>
  <c r="V122" i="2"/>
  <c r="U122" i="2"/>
  <c r="T122" i="2"/>
  <c r="R122" i="2"/>
  <c r="O122" i="2"/>
  <c r="X121" i="2"/>
  <c r="V121" i="2"/>
  <c r="U121" i="2"/>
  <c r="T121" i="2"/>
  <c r="R121" i="2"/>
  <c r="O121" i="2"/>
  <c r="W120" i="2"/>
  <c r="V120" i="2"/>
  <c r="U120" i="2"/>
  <c r="T120" i="2"/>
  <c r="S120" i="2"/>
  <c r="R120" i="2"/>
  <c r="Q120" i="2"/>
  <c r="P120" i="2"/>
  <c r="O120" i="2"/>
  <c r="N120" i="2"/>
  <c r="M120" i="2"/>
  <c r="X119" i="2"/>
  <c r="V119" i="2"/>
  <c r="U119" i="2"/>
  <c r="R119" i="2"/>
  <c r="O119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X117" i="2"/>
  <c r="V117" i="2"/>
  <c r="U117" i="2"/>
  <c r="R117" i="2"/>
  <c r="O117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X115" i="2"/>
  <c r="V115" i="2"/>
  <c r="U115" i="2"/>
  <c r="T115" i="2"/>
  <c r="R115" i="2"/>
  <c r="Q115" i="2"/>
  <c r="O115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X113" i="2"/>
  <c r="V113" i="2"/>
  <c r="U113" i="2"/>
  <c r="T113" i="2"/>
  <c r="R113" i="2"/>
  <c r="O113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X111" i="2"/>
  <c r="W111" i="2"/>
  <c r="V111" i="2"/>
  <c r="U111" i="2"/>
  <c r="R111" i="2"/>
  <c r="O111" i="2"/>
  <c r="X110" i="2"/>
  <c r="W110" i="2"/>
  <c r="V110" i="2"/>
  <c r="U110" i="2"/>
  <c r="T110" i="2"/>
  <c r="R110" i="2"/>
  <c r="Q110" i="2"/>
  <c r="O110" i="2"/>
  <c r="X109" i="2"/>
  <c r="V109" i="2"/>
  <c r="U109" i="2"/>
  <c r="R109" i="2"/>
  <c r="Q109" i="2"/>
  <c r="O109" i="2"/>
  <c r="X108" i="2"/>
  <c r="V108" i="2"/>
  <c r="U108" i="2"/>
  <c r="T108" i="2"/>
  <c r="R108" i="2"/>
  <c r="Q108" i="2"/>
  <c r="O108" i="2"/>
  <c r="N108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X106" i="2"/>
  <c r="V106" i="2"/>
  <c r="U106" i="2"/>
  <c r="T106" i="2"/>
  <c r="R106" i="2"/>
  <c r="Q106" i="2"/>
  <c r="O106" i="2"/>
  <c r="X105" i="2"/>
  <c r="V105" i="2"/>
  <c r="U105" i="2"/>
  <c r="T105" i="2"/>
  <c r="R105" i="2"/>
  <c r="Q105" i="2"/>
  <c r="O105" i="2"/>
  <c r="N105" i="2"/>
  <c r="X104" i="2"/>
  <c r="W104" i="2"/>
  <c r="V104" i="2"/>
  <c r="U104" i="2"/>
  <c r="T104" i="2"/>
  <c r="R104" i="2"/>
  <c r="Q104" i="2"/>
  <c r="O104" i="2"/>
  <c r="N104" i="2"/>
  <c r="X103" i="2"/>
  <c r="V103" i="2"/>
  <c r="U103" i="2"/>
  <c r="T103" i="2"/>
  <c r="R103" i="2"/>
  <c r="O103" i="2"/>
  <c r="N103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X100" i="2"/>
  <c r="V100" i="2"/>
  <c r="U100" i="2"/>
  <c r="T100" i="2"/>
  <c r="R100" i="2"/>
  <c r="O100" i="2"/>
  <c r="X99" i="2"/>
  <c r="W99" i="2"/>
  <c r="V99" i="2"/>
  <c r="U99" i="2"/>
  <c r="T99" i="2"/>
  <c r="S99" i="2"/>
  <c r="R99" i="2"/>
  <c r="Q99" i="2"/>
  <c r="P99" i="2"/>
  <c r="O99" i="2"/>
  <c r="N99" i="2"/>
  <c r="M99" i="2"/>
  <c r="X98" i="2"/>
  <c r="W98" i="2"/>
  <c r="V98" i="2"/>
  <c r="U98" i="2"/>
  <c r="R98" i="2"/>
  <c r="O98" i="2"/>
  <c r="X97" i="2"/>
  <c r="W97" i="2"/>
  <c r="V97" i="2"/>
  <c r="U97" i="2"/>
  <c r="T97" i="2"/>
  <c r="S97" i="2"/>
  <c r="R97" i="2"/>
  <c r="Q97" i="2"/>
  <c r="P97" i="2"/>
  <c r="O97" i="2"/>
  <c r="N97" i="2"/>
  <c r="M97" i="2"/>
  <c r="X96" i="2"/>
  <c r="V96" i="2"/>
  <c r="U96" i="2"/>
  <c r="T96" i="2"/>
  <c r="R96" i="2"/>
  <c r="O96" i="2"/>
  <c r="X95" i="2"/>
  <c r="V95" i="2"/>
  <c r="U95" i="2"/>
  <c r="T95" i="2"/>
  <c r="R95" i="2"/>
  <c r="Q95" i="2"/>
  <c r="O95" i="2"/>
  <c r="X94" i="2"/>
  <c r="W94" i="2"/>
  <c r="V94" i="2"/>
  <c r="U94" i="2"/>
  <c r="T94" i="2"/>
  <c r="S94" i="2"/>
  <c r="R94" i="2"/>
  <c r="Q94" i="2"/>
  <c r="P94" i="2"/>
  <c r="O94" i="2"/>
  <c r="N94" i="2"/>
  <c r="M94" i="2"/>
  <c r="X93" i="2"/>
  <c r="W93" i="2"/>
  <c r="V93" i="2"/>
  <c r="U93" i="2"/>
  <c r="T93" i="2"/>
  <c r="S93" i="2"/>
  <c r="R93" i="2"/>
  <c r="Q93" i="2"/>
  <c r="P93" i="2"/>
  <c r="O93" i="2"/>
  <c r="N93" i="2"/>
  <c r="M93" i="2"/>
  <c r="X92" i="2"/>
  <c r="V92" i="2"/>
  <c r="U92" i="2"/>
  <c r="R92" i="2"/>
  <c r="O92" i="2"/>
  <c r="X91" i="2"/>
  <c r="V91" i="2"/>
  <c r="U91" i="2"/>
  <c r="R91" i="2"/>
  <c r="O91" i="2"/>
  <c r="X90" i="2"/>
  <c r="W90" i="2"/>
  <c r="V90" i="2"/>
  <c r="U90" i="2"/>
  <c r="T90" i="2"/>
  <c r="R90" i="2"/>
  <c r="O90" i="2"/>
  <c r="N90" i="2"/>
  <c r="X89" i="2"/>
  <c r="V89" i="2"/>
  <c r="U89" i="2"/>
  <c r="T89" i="2"/>
  <c r="R89" i="2"/>
  <c r="Q89" i="2"/>
  <c r="O89" i="2"/>
  <c r="N89" i="2"/>
  <c r="X88" i="2"/>
  <c r="W88" i="2"/>
  <c r="V88" i="2"/>
  <c r="U88" i="2"/>
  <c r="T88" i="2"/>
  <c r="S88" i="2"/>
  <c r="R88" i="2"/>
  <c r="Q88" i="2"/>
  <c r="P88" i="2"/>
  <c r="O88" i="2"/>
  <c r="N88" i="2"/>
  <c r="M88" i="2"/>
  <c r="X87" i="2"/>
  <c r="V87" i="2"/>
  <c r="U87" i="2"/>
  <c r="R87" i="2"/>
  <c r="O87" i="2"/>
  <c r="X86" i="2"/>
  <c r="W86" i="2"/>
  <c r="V86" i="2"/>
  <c r="U86" i="2"/>
  <c r="T86" i="2"/>
  <c r="S86" i="2"/>
  <c r="R86" i="2"/>
  <c r="Q86" i="2"/>
  <c r="P86" i="2"/>
  <c r="O86" i="2"/>
  <c r="N86" i="2"/>
  <c r="M86" i="2"/>
  <c r="X85" i="2"/>
  <c r="V85" i="2"/>
  <c r="U85" i="2"/>
  <c r="R85" i="2"/>
  <c r="Q85" i="2"/>
  <c r="O85" i="2"/>
  <c r="X84" i="2"/>
  <c r="V84" i="2"/>
  <c r="U84" i="2"/>
  <c r="R84" i="2"/>
  <c r="O84" i="2"/>
  <c r="X83" i="2"/>
  <c r="V83" i="2"/>
  <c r="U83" i="2"/>
  <c r="X82" i="2"/>
  <c r="V82" i="2"/>
  <c r="U82" i="2"/>
  <c r="T82" i="2"/>
  <c r="R82" i="2"/>
  <c r="O82" i="2"/>
  <c r="X81" i="2"/>
  <c r="W81" i="2"/>
  <c r="V81" i="2"/>
  <c r="U81" i="2"/>
  <c r="T81" i="2"/>
  <c r="S81" i="2"/>
  <c r="R81" i="2"/>
  <c r="Q81" i="2"/>
  <c r="P81" i="2"/>
  <c r="O81" i="2"/>
  <c r="N81" i="2"/>
  <c r="M81" i="2"/>
  <c r="X80" i="2"/>
  <c r="V80" i="2"/>
  <c r="U80" i="2"/>
  <c r="R80" i="2"/>
  <c r="O80" i="2"/>
  <c r="X79" i="2"/>
  <c r="V79" i="2"/>
  <c r="U79" i="2"/>
  <c r="R79" i="2"/>
  <c r="O79" i="2"/>
  <c r="X78" i="2"/>
  <c r="W78" i="2"/>
  <c r="V78" i="2"/>
  <c r="U78" i="2"/>
  <c r="T78" i="2"/>
  <c r="S78" i="2"/>
  <c r="R78" i="2"/>
  <c r="Q78" i="2"/>
  <c r="P78" i="2"/>
  <c r="O78" i="2"/>
  <c r="N78" i="2"/>
  <c r="M78" i="2"/>
  <c r="X77" i="2"/>
  <c r="V77" i="2"/>
  <c r="U77" i="2"/>
  <c r="T77" i="2"/>
  <c r="R77" i="2"/>
  <c r="Q77" i="2"/>
  <c r="O77" i="2"/>
  <c r="X76" i="2"/>
  <c r="W76" i="2"/>
  <c r="V76" i="2"/>
  <c r="U76" i="2"/>
  <c r="T76" i="2"/>
  <c r="S76" i="2"/>
  <c r="R76" i="2"/>
  <c r="Q76" i="2"/>
  <c r="P76" i="2"/>
  <c r="O76" i="2"/>
  <c r="N76" i="2"/>
  <c r="M76" i="2"/>
  <c r="X75" i="2"/>
  <c r="W75" i="2"/>
  <c r="V75" i="2"/>
  <c r="U75" i="2"/>
  <c r="T75" i="2"/>
  <c r="S75" i="2"/>
  <c r="R75" i="2"/>
  <c r="Q75" i="2"/>
  <c r="P75" i="2"/>
  <c r="O75" i="2"/>
  <c r="N75" i="2"/>
  <c r="M75" i="2"/>
  <c r="X74" i="2"/>
  <c r="V74" i="2"/>
  <c r="U74" i="2"/>
  <c r="T74" i="2"/>
  <c r="R74" i="2"/>
  <c r="O74" i="2"/>
  <c r="N74" i="2"/>
  <c r="X73" i="2"/>
  <c r="W73" i="2"/>
  <c r="V73" i="2"/>
  <c r="U73" i="2"/>
  <c r="T73" i="2"/>
  <c r="R73" i="2"/>
  <c r="Q73" i="2"/>
  <c r="O73" i="2"/>
  <c r="N73" i="2"/>
  <c r="X72" i="2"/>
  <c r="V72" i="2"/>
  <c r="U72" i="2"/>
  <c r="T72" i="2"/>
  <c r="R72" i="2"/>
  <c r="O72" i="2"/>
  <c r="X71" i="2"/>
  <c r="W71" i="2"/>
  <c r="V71" i="2"/>
  <c r="U71" i="2"/>
  <c r="T71" i="2"/>
  <c r="S71" i="2"/>
  <c r="R71" i="2"/>
  <c r="Q71" i="2"/>
  <c r="P71" i="2"/>
  <c r="O71" i="2"/>
  <c r="N71" i="2"/>
  <c r="M71" i="2"/>
  <c r="X70" i="2"/>
  <c r="V70" i="2"/>
  <c r="U70" i="2"/>
  <c r="X69" i="2"/>
  <c r="V69" i="2"/>
  <c r="U69" i="2"/>
  <c r="X68" i="2"/>
  <c r="V68" i="2"/>
  <c r="U68" i="2"/>
  <c r="S68" i="2"/>
  <c r="X67" i="2"/>
  <c r="V67" i="2"/>
  <c r="U67" i="2"/>
  <c r="R67" i="2"/>
  <c r="Q67" i="2"/>
  <c r="O67" i="2"/>
  <c r="X66" i="2"/>
  <c r="V66" i="2"/>
  <c r="U66" i="2"/>
  <c r="R66" i="2"/>
  <c r="Q66" i="2"/>
  <c r="O66" i="2"/>
  <c r="X65" i="2"/>
  <c r="W65" i="2"/>
  <c r="V65" i="2"/>
  <c r="U65" i="2"/>
  <c r="T65" i="2"/>
  <c r="R65" i="2"/>
  <c r="O65" i="2"/>
  <c r="X64" i="2"/>
  <c r="W64" i="2"/>
  <c r="V64" i="2"/>
  <c r="U64" i="2"/>
  <c r="T64" i="2"/>
  <c r="R64" i="2"/>
  <c r="Q64" i="2"/>
  <c r="O64" i="2"/>
  <c r="X63" i="2"/>
  <c r="W63" i="2"/>
  <c r="V63" i="2"/>
  <c r="U63" i="2"/>
  <c r="T63" i="2"/>
  <c r="S63" i="2"/>
  <c r="R63" i="2"/>
  <c r="Q63" i="2"/>
  <c r="P63" i="2"/>
  <c r="O63" i="2"/>
  <c r="N63" i="2"/>
  <c r="M63" i="2"/>
  <c r="X62" i="2"/>
  <c r="W62" i="2"/>
  <c r="V62" i="2"/>
  <c r="U62" i="2"/>
  <c r="T62" i="2"/>
  <c r="R62" i="2"/>
  <c r="O62" i="2"/>
  <c r="N62" i="2"/>
  <c r="X61" i="2"/>
  <c r="W61" i="2"/>
  <c r="V61" i="2"/>
  <c r="U61" i="2"/>
  <c r="T61" i="2"/>
  <c r="R61" i="2"/>
  <c r="Q61" i="2"/>
  <c r="O61" i="2"/>
  <c r="X60" i="2"/>
  <c r="V60" i="2"/>
  <c r="U60" i="2"/>
  <c r="R60" i="2"/>
  <c r="Q60" i="2"/>
  <c r="O60" i="2"/>
  <c r="X59" i="2"/>
  <c r="V59" i="2"/>
  <c r="U59" i="2"/>
  <c r="R59" i="2"/>
  <c r="O59" i="2"/>
  <c r="X58" i="2"/>
  <c r="W58" i="2"/>
  <c r="V58" i="2"/>
  <c r="U58" i="2"/>
  <c r="T58" i="2"/>
  <c r="S58" i="2"/>
  <c r="R58" i="2"/>
  <c r="Q58" i="2"/>
  <c r="P58" i="2"/>
  <c r="O58" i="2"/>
  <c r="N58" i="2"/>
  <c r="M58" i="2"/>
  <c r="X57" i="2"/>
  <c r="W57" i="2"/>
  <c r="V57" i="2"/>
  <c r="U57" i="2"/>
  <c r="T57" i="2"/>
  <c r="S57" i="2"/>
  <c r="R57" i="2"/>
  <c r="Q57" i="2"/>
  <c r="P57" i="2"/>
  <c r="O57" i="2"/>
  <c r="N57" i="2"/>
  <c r="M57" i="2"/>
  <c r="X56" i="2"/>
  <c r="V56" i="2"/>
  <c r="U56" i="2"/>
  <c r="T56" i="2"/>
  <c r="R56" i="2"/>
  <c r="O56" i="2"/>
  <c r="X55" i="2"/>
  <c r="W55" i="2"/>
  <c r="V55" i="2"/>
  <c r="U55" i="2"/>
  <c r="T55" i="2"/>
  <c r="S55" i="2"/>
  <c r="R55" i="2"/>
  <c r="Q55" i="2"/>
  <c r="P55" i="2"/>
  <c r="O55" i="2"/>
  <c r="N55" i="2"/>
  <c r="M55" i="2"/>
  <c r="X54" i="2"/>
  <c r="V54" i="2"/>
  <c r="U54" i="2"/>
  <c r="R54" i="2"/>
  <c r="O54" i="2"/>
  <c r="X53" i="2"/>
  <c r="W53" i="2"/>
  <c r="V53" i="2"/>
  <c r="U53" i="2"/>
  <c r="T53" i="2"/>
  <c r="S53" i="2"/>
  <c r="R53" i="2"/>
  <c r="Q53" i="2"/>
  <c r="P53" i="2"/>
  <c r="O53" i="2"/>
  <c r="N53" i="2"/>
  <c r="M53" i="2"/>
  <c r="V52" i="2"/>
  <c r="X52" i="2" s="1"/>
  <c r="X51" i="2" s="1"/>
  <c r="U52" i="2"/>
  <c r="U51" i="2" s="1"/>
  <c r="T52" i="2"/>
  <c r="R52" i="2"/>
  <c r="O52" i="2"/>
  <c r="O51" i="2" s="1"/>
  <c r="N52" i="2"/>
  <c r="W51" i="2"/>
  <c r="W40" i="2" s="1"/>
  <c r="T51" i="2"/>
  <c r="S51" i="2"/>
  <c r="V51" i="2" s="1"/>
  <c r="R51" i="2"/>
  <c r="Q51" i="2"/>
  <c r="Q40" i="2" s="1"/>
  <c r="Q200" i="2" s="1"/>
  <c r="P51" i="2"/>
  <c r="P40" i="2" s="1"/>
  <c r="P200" i="2" s="1"/>
  <c r="N51" i="2"/>
  <c r="N40" i="2" s="1"/>
  <c r="N200" i="2" s="1"/>
  <c r="M51" i="2"/>
  <c r="M40" i="2" s="1"/>
  <c r="X50" i="2"/>
  <c r="V50" i="2"/>
  <c r="U50" i="2"/>
  <c r="T50" i="2"/>
  <c r="R50" i="2"/>
  <c r="O50" i="2"/>
  <c r="X49" i="2"/>
  <c r="V49" i="2"/>
  <c r="U49" i="2"/>
  <c r="T49" i="2"/>
  <c r="R49" i="2"/>
  <c r="O49" i="2"/>
  <c r="N49" i="2"/>
  <c r="X48" i="2"/>
  <c r="V48" i="2"/>
  <c r="U48" i="2"/>
  <c r="R48" i="2"/>
  <c r="O48" i="2"/>
  <c r="X47" i="2"/>
  <c r="W47" i="2"/>
  <c r="V47" i="2"/>
  <c r="U47" i="2"/>
  <c r="T47" i="2"/>
  <c r="S47" i="2"/>
  <c r="R47" i="2"/>
  <c r="Q47" i="2"/>
  <c r="P47" i="2"/>
  <c r="O47" i="2"/>
  <c r="N47" i="2"/>
  <c r="M47" i="2"/>
  <c r="X46" i="2"/>
  <c r="V46" i="2"/>
  <c r="U46" i="2"/>
  <c r="R46" i="2"/>
  <c r="O46" i="2"/>
  <c r="X45" i="2"/>
  <c r="V45" i="2"/>
  <c r="U45" i="2"/>
  <c r="T45" i="2"/>
  <c r="X44" i="2"/>
  <c r="W44" i="2"/>
  <c r="V44" i="2"/>
  <c r="U44" i="2"/>
  <c r="T44" i="2"/>
  <c r="R44" i="2"/>
  <c r="O44" i="2"/>
  <c r="X43" i="2"/>
  <c r="V43" i="2"/>
  <c r="U43" i="2"/>
  <c r="T43" i="2"/>
  <c r="R43" i="2"/>
  <c r="O43" i="2"/>
  <c r="N43" i="2"/>
  <c r="X42" i="2"/>
  <c r="V42" i="2"/>
  <c r="U42" i="2"/>
  <c r="T42" i="2"/>
  <c r="R42" i="2"/>
  <c r="Q42" i="2"/>
  <c r="O42" i="2"/>
  <c r="X41" i="2"/>
  <c r="W41" i="2"/>
  <c r="V41" i="2"/>
  <c r="U41" i="2"/>
  <c r="T41" i="2"/>
  <c r="S41" i="2"/>
  <c r="R41" i="2"/>
  <c r="Q41" i="2"/>
  <c r="P41" i="2"/>
  <c r="O41" i="2"/>
  <c r="N41" i="2"/>
  <c r="M41" i="2"/>
  <c r="T40" i="2"/>
  <c r="S40" i="2"/>
  <c r="S200" i="2" s="1"/>
  <c r="X39" i="2"/>
  <c r="V39" i="2"/>
  <c r="U39" i="2"/>
  <c r="T39" i="2"/>
  <c r="S39" i="2"/>
  <c r="R39" i="2"/>
  <c r="O39" i="2"/>
  <c r="X38" i="2"/>
  <c r="W38" i="2"/>
  <c r="V38" i="2"/>
  <c r="U38" i="2"/>
  <c r="T38" i="2"/>
  <c r="S38" i="2"/>
  <c r="R38" i="2"/>
  <c r="Q38" i="2"/>
  <c r="P38" i="2"/>
  <c r="O38" i="2"/>
  <c r="N38" i="2"/>
  <c r="M38" i="2"/>
  <c r="X37" i="2"/>
  <c r="V37" i="2"/>
  <c r="U37" i="2"/>
  <c r="T37" i="2"/>
  <c r="R37" i="2"/>
  <c r="O37" i="2"/>
  <c r="X36" i="2"/>
  <c r="W36" i="2"/>
  <c r="V36" i="2"/>
  <c r="U36" i="2"/>
  <c r="T36" i="2"/>
  <c r="S36" i="2"/>
  <c r="R36" i="2"/>
  <c r="Q36" i="2"/>
  <c r="P36" i="2"/>
  <c r="O36" i="2"/>
  <c r="N36" i="2"/>
  <c r="M36" i="2"/>
  <c r="X35" i="2"/>
  <c r="W35" i="2"/>
  <c r="V35" i="2"/>
  <c r="U35" i="2"/>
  <c r="T35" i="2"/>
  <c r="S35" i="2"/>
  <c r="R35" i="2"/>
  <c r="Q35" i="2"/>
  <c r="P35" i="2"/>
  <c r="O35" i="2"/>
  <c r="N35" i="2"/>
  <c r="M35" i="2"/>
  <c r="X34" i="2"/>
  <c r="U34" i="2"/>
  <c r="R34" i="2"/>
  <c r="O34" i="2"/>
  <c r="X33" i="2"/>
  <c r="W33" i="2"/>
  <c r="U33" i="2"/>
  <c r="T33" i="2"/>
  <c r="S33" i="2"/>
  <c r="R33" i="2"/>
  <c r="Q33" i="2"/>
  <c r="P33" i="2"/>
  <c r="O33" i="2"/>
  <c r="N33" i="2"/>
  <c r="M33" i="2"/>
  <c r="X32" i="2"/>
  <c r="V32" i="2"/>
  <c r="U32" i="2"/>
  <c r="R32" i="2"/>
  <c r="O32" i="2"/>
  <c r="X31" i="2"/>
  <c r="V31" i="2"/>
  <c r="U31" i="2"/>
  <c r="R31" i="2"/>
  <c r="O31" i="2"/>
  <c r="X30" i="2"/>
  <c r="W30" i="2"/>
  <c r="V30" i="2"/>
  <c r="U30" i="2"/>
  <c r="T30" i="2"/>
  <c r="S30" i="2"/>
  <c r="R30" i="2"/>
  <c r="Q30" i="2"/>
  <c r="P30" i="2"/>
  <c r="O30" i="2"/>
  <c r="N30" i="2"/>
  <c r="M30" i="2"/>
  <c r="X29" i="2"/>
  <c r="V29" i="2"/>
  <c r="U29" i="2"/>
  <c r="T29" i="2"/>
  <c r="R29" i="2"/>
  <c r="O29" i="2"/>
  <c r="N29" i="2"/>
  <c r="X28" i="2"/>
  <c r="W28" i="2"/>
  <c r="V28" i="2"/>
  <c r="U28" i="2"/>
  <c r="T28" i="2"/>
  <c r="S28" i="2"/>
  <c r="R28" i="2"/>
  <c r="Q28" i="2"/>
  <c r="P28" i="2"/>
  <c r="O28" i="2"/>
  <c r="N28" i="2"/>
  <c r="M28" i="2"/>
  <c r="X27" i="2"/>
  <c r="W27" i="2"/>
  <c r="V27" i="2"/>
  <c r="U27" i="2"/>
  <c r="T27" i="2"/>
  <c r="S27" i="2"/>
  <c r="R27" i="2"/>
  <c r="Q27" i="2"/>
  <c r="P27" i="2"/>
  <c r="O27" i="2"/>
  <c r="N27" i="2"/>
  <c r="M27" i="2"/>
  <c r="X26" i="2"/>
  <c r="U26" i="2"/>
  <c r="T26" i="2"/>
  <c r="X25" i="2"/>
  <c r="V25" i="2"/>
  <c r="U25" i="2"/>
  <c r="R25" i="2"/>
  <c r="O25" i="2"/>
  <c r="X24" i="2"/>
  <c r="V24" i="2"/>
  <c r="U24" i="2"/>
  <c r="R24" i="2"/>
  <c r="O24" i="2"/>
  <c r="X23" i="2"/>
  <c r="U23" i="2"/>
  <c r="T23" i="2"/>
  <c r="R23" i="2"/>
  <c r="O23" i="2"/>
  <c r="X22" i="2"/>
  <c r="W22" i="2"/>
  <c r="V22" i="2"/>
  <c r="U22" i="2"/>
  <c r="T22" i="2"/>
  <c r="S22" i="2"/>
  <c r="R22" i="2"/>
  <c r="Q22" i="2"/>
  <c r="P22" i="2"/>
  <c r="O22" i="2"/>
  <c r="N22" i="2"/>
  <c r="M22" i="2"/>
  <c r="X21" i="2"/>
  <c r="U21" i="2"/>
  <c r="R21" i="2"/>
  <c r="O21" i="2"/>
  <c r="X20" i="2"/>
  <c r="U20" i="2"/>
  <c r="R20" i="2"/>
  <c r="O20" i="2"/>
  <c r="X19" i="2"/>
  <c r="U19" i="2"/>
  <c r="R19" i="2"/>
  <c r="O19" i="2"/>
  <c r="X18" i="2"/>
  <c r="U18" i="2"/>
  <c r="R18" i="2"/>
  <c r="O18" i="2"/>
  <c r="X17" i="2"/>
  <c r="W17" i="2"/>
  <c r="U17" i="2"/>
  <c r="T17" i="2"/>
  <c r="S17" i="2"/>
  <c r="R17" i="2"/>
  <c r="Q17" i="2"/>
  <c r="P17" i="2"/>
  <c r="O17" i="2"/>
  <c r="N17" i="2"/>
  <c r="M17" i="2"/>
  <c r="X16" i="2"/>
  <c r="U16" i="2"/>
  <c r="R16" i="2"/>
  <c r="P16" i="2"/>
  <c r="O16" i="2"/>
  <c r="X15" i="2"/>
  <c r="U15" i="2"/>
  <c r="T15" i="2"/>
  <c r="R15" i="2"/>
  <c r="P15" i="2"/>
  <c r="O15" i="2"/>
  <c r="X14" i="2"/>
  <c r="W14" i="2"/>
  <c r="U14" i="2"/>
  <c r="T14" i="2"/>
  <c r="S14" i="2"/>
  <c r="R14" i="2"/>
  <c r="Q14" i="2"/>
  <c r="P14" i="2"/>
  <c r="O14" i="2"/>
  <c r="N14" i="2"/>
  <c r="M14" i="2"/>
  <c r="X13" i="2"/>
  <c r="U13" i="2"/>
  <c r="R13" i="2"/>
  <c r="Q13" i="2"/>
  <c r="O13" i="2"/>
  <c r="X12" i="2"/>
  <c r="W12" i="2"/>
  <c r="U12" i="2"/>
  <c r="T12" i="2"/>
  <c r="R12" i="2"/>
  <c r="Q12" i="2"/>
  <c r="P12" i="2"/>
  <c r="O12" i="2"/>
  <c r="N12" i="2"/>
  <c r="M12" i="2"/>
  <c r="X11" i="2"/>
  <c r="U11" i="2"/>
  <c r="R11" i="2"/>
  <c r="Q11" i="2"/>
  <c r="O11" i="2"/>
  <c r="X10" i="2"/>
  <c r="W10" i="2"/>
  <c r="U10" i="2"/>
  <c r="T10" i="2"/>
  <c r="R10" i="2"/>
  <c r="Q10" i="2"/>
  <c r="P10" i="2"/>
  <c r="O10" i="2"/>
  <c r="N10" i="2"/>
  <c r="M10" i="2"/>
  <c r="X9" i="2"/>
  <c r="W9" i="2"/>
  <c r="U9" i="2"/>
  <c r="T9" i="2"/>
  <c r="S9" i="2"/>
  <c r="R9" i="2"/>
  <c r="Q9" i="2"/>
  <c r="P9" i="2"/>
  <c r="O9" i="2"/>
  <c r="N9" i="2"/>
  <c r="M9" i="2"/>
  <c r="W200" i="2" l="1"/>
  <c r="X40" i="2"/>
  <c r="X200" i="2" s="1"/>
  <c r="U40" i="2"/>
  <c r="U200" i="2" s="1"/>
  <c r="O40" i="2"/>
  <c r="O200" i="2" s="1"/>
  <c r="M200" i="2"/>
  <c r="T200" i="2"/>
  <c r="R40" i="2"/>
  <c r="R200" i="2" s="1"/>
</calcChain>
</file>

<file path=xl/sharedStrings.xml><?xml version="1.0" encoding="utf-8"?>
<sst xmlns="http://schemas.openxmlformats.org/spreadsheetml/2006/main" count="973" uniqueCount="437">
  <si>
    <t>4000799990</t>
  </si>
  <si>
    <t>07</t>
  </si>
  <si>
    <t>0</t>
  </si>
  <si>
    <t>40</t>
  </si>
  <si>
    <t/>
  </si>
  <si>
    <t>06</t>
  </si>
  <si>
    <t>4000600000</t>
  </si>
  <si>
    <t>05</t>
  </si>
  <si>
    <t>4000500000</t>
  </si>
  <si>
    <t>4000499990</t>
  </si>
  <si>
    <t>04</t>
  </si>
  <si>
    <t>02</t>
  </si>
  <si>
    <t>4000200000</t>
  </si>
  <si>
    <t>01</t>
  </si>
  <si>
    <t>4000100000</t>
  </si>
  <si>
    <t>4000000000</t>
  </si>
  <si>
    <t>232F255550</t>
  </si>
  <si>
    <t>F2</t>
  </si>
  <si>
    <t>2</t>
  </si>
  <si>
    <t>23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</si>
  <si>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</si>
  <si>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</si>
  <si>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</si>
  <si>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</si>
  <si>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</si>
  <si>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</si>
  <si>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</si>
  <si>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</si>
  <si>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</si>
  <si>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</si>
  <si>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2230100000</t>
  </si>
  <si>
    <t>2230000000</t>
  </si>
  <si>
    <t>2220100000</t>
  </si>
  <si>
    <t>2210200000</t>
  </si>
  <si>
    <t>2210100000</t>
  </si>
  <si>
    <t>2210000000</t>
  </si>
  <si>
    <t>2200000000</t>
  </si>
  <si>
    <t>21</t>
  </si>
  <si>
    <t>2100100000</t>
  </si>
  <si>
    <t>2040199990</t>
  </si>
  <si>
    <t>4</t>
  </si>
  <si>
    <t>20</t>
  </si>
  <si>
    <t>2030399990</t>
  </si>
  <si>
    <t>2030200590</t>
  </si>
  <si>
    <t>2030100000</t>
  </si>
  <si>
    <t>2030000000</t>
  </si>
  <si>
    <t>E1</t>
  </si>
  <si>
    <t>202E100000</t>
  </si>
  <si>
    <t>2020399990</t>
  </si>
  <si>
    <t>2020000000</t>
  </si>
  <si>
    <t>2010700000</t>
  </si>
  <si>
    <t>2010600590</t>
  </si>
  <si>
    <t>2010599990</t>
  </si>
  <si>
    <t>2010400000</t>
  </si>
  <si>
    <t>2010384050</t>
  </si>
  <si>
    <t>2010200000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</si>
  <si>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</si>
  <si>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</si>
  <si>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</si>
  <si>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</si>
  <si>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</si>
  <si>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</si>
  <si>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</si>
  <si>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1820100000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</si>
  <si>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</si>
  <si>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</si>
  <si>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</si>
  <si>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</si>
  <si>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</si>
  <si>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</si>
  <si>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</si>
  <si>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</si>
  <si>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</si>
  <si>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</si>
  <si>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</si>
  <si>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1710100000</t>
  </si>
  <si>
    <t>1710000000</t>
  </si>
  <si>
    <t>1700000000</t>
  </si>
  <si>
    <t>1600142110</t>
  </si>
  <si>
    <t>16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</si>
  <si>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</si>
  <si>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</si>
  <si>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</si>
  <si>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</si>
  <si>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</si>
  <si>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</si>
  <si>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</si>
  <si>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</si>
  <si>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</si>
  <si>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1420100000</t>
  </si>
  <si>
    <t>1420000000</t>
  </si>
  <si>
    <t>1410200000</t>
  </si>
  <si>
    <t>1410100000</t>
  </si>
  <si>
    <t>1410000000</t>
  </si>
  <si>
    <t>1400000000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</si>
  <si>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</si>
  <si>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</si>
  <si>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</si>
  <si>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</si>
  <si>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</si>
  <si>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</si>
  <si>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</si>
  <si>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</si>
  <si>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</si>
  <si>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</si>
  <si>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</si>
  <si>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</si>
  <si>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</si>
  <si>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</si>
  <si>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F3</t>
  </si>
  <si>
    <t>113F300000</t>
  </si>
  <si>
    <t>1130300000</t>
  </si>
  <si>
    <t>1130100000</t>
  </si>
  <si>
    <t>1130000000</t>
  </si>
  <si>
    <t>1120284220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</si>
  <si>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</si>
  <si>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</si>
  <si>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</si>
  <si>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</si>
  <si>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</si>
  <si>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</si>
  <si>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</si>
  <si>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1000100000</t>
  </si>
  <si>
    <t>1000000000</t>
  </si>
  <si>
    <t>09</t>
  </si>
  <si>
    <t>0920300000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</si>
  <si>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</si>
  <si>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</si>
  <si>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</si>
  <si>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</si>
  <si>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</si>
  <si>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</si>
  <si>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</si>
  <si>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</si>
  <si>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</si>
  <si>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</si>
  <si>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</si>
  <si>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</si>
  <si>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</si>
  <si>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</si>
  <si>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</si>
  <si>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</si>
  <si>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</si>
  <si>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</si>
  <si>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0610300000</t>
  </si>
  <si>
    <t>0610299990</t>
  </si>
  <si>
    <t>0610100000</t>
  </si>
  <si>
    <t>0610000000</t>
  </si>
  <si>
    <t>0600000000</t>
  </si>
  <si>
    <t>0520199990</t>
  </si>
  <si>
    <t>0510100000</t>
  </si>
  <si>
    <t>0500000000</t>
  </si>
  <si>
    <t>0430199990</t>
  </si>
  <si>
    <t>0420399990</t>
  </si>
  <si>
    <t>0420299990</t>
  </si>
  <si>
    <t>0420000000</t>
  </si>
  <si>
    <t>0410100000</t>
  </si>
  <si>
    <t>0400000000</t>
  </si>
  <si>
    <t>I8</t>
  </si>
  <si>
    <t>030I800000</t>
  </si>
  <si>
    <t>I4</t>
  </si>
  <si>
    <t>030I400000</t>
  </si>
  <si>
    <t>0300000000</t>
  </si>
  <si>
    <t>0200499990</t>
  </si>
  <si>
    <t>0200399990</t>
  </si>
  <si>
    <t>0200299990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</si>
  <si>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</si>
  <si>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</si>
  <si>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</si>
  <si>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</si>
  <si>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</si>
  <si>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</si>
  <si>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</si>
  <si>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</si>
  <si>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КЦСР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</si>
  <si>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</si>
  <si>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</si>
  <si>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</si>
  <si>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к пояснительной записке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</si>
  <si>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</si>
  <si>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</si>
  <si>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</si>
  <si>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</si>
  <si>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</si>
  <si>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</si>
  <si>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</si>
  <si>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</si>
  <si>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</si>
  <si>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</si>
  <si>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Региональный проект "Популяризация предпринимательства"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</si>
  <si>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</si>
  <si>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</si>
  <si>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</si>
  <si>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</si>
  <si>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</si>
  <si>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</si>
  <si>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</si>
  <si>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</si>
  <si>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</si>
  <si>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</si>
  <si>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</si>
  <si>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</si>
  <si>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</si>
  <si>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</si>
  <si>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</si>
  <si>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</si>
  <si>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</si>
  <si>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</si>
  <si>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</si>
  <si>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</si>
  <si>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</si>
  <si>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</si>
  <si>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</si>
  <si>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</si>
  <si>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</si>
  <si>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мороприятие "Обеспечение участия сборных команд по видам спорта в межмуниципальных, региональных, всерросийских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</si>
  <si>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</si>
  <si>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</si>
  <si>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</si>
  <si>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</si>
  <si>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</si>
  <si>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</si>
  <si>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</si>
  <si>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</si>
  <si>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</si>
  <si>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</si>
  <si>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</si>
  <si>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</si>
  <si>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</si>
  <si>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</si>
  <si>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</si>
  <si>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</si>
  <si>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</si>
  <si>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</si>
  <si>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</si>
  <si>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</si>
  <si>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</si>
  <si>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</si>
  <si>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</si>
  <si>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</si>
  <si>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</si>
  <si>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</si>
  <si>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</si>
  <si>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</si>
  <si>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</si>
  <si>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</si>
  <si>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</si>
  <si>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</si>
  <si>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</si>
  <si>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</si>
  <si>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</si>
  <si>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</si>
  <si>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</si>
  <si>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</si>
  <si>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</si>
  <si>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</si>
  <si>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</si>
  <si>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</si>
  <si>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</si>
  <si>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</si>
  <si>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</si>
  <si>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</si>
  <si>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</si>
  <si>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</si>
  <si>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</si>
  <si>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</si>
  <si>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Региональный прект "Современная школа"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</si>
  <si>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</si>
  <si>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</si>
  <si>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</si>
  <si>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</si>
  <si>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</si>
  <si>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</si>
  <si>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</si>
  <si>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</si>
  <si>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</si>
  <si>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</si>
  <si>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</si>
  <si>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</si>
  <si>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</si>
  <si>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</si>
  <si>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</si>
  <si>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</si>
  <si>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</si>
  <si>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</si>
  <si>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</si>
  <si>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</si>
  <si>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</si>
  <si>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"Обеспечение деятельности контрольно-счетной палаты городского округа"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</si>
  <si>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</si>
  <si>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</si>
  <si>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</si>
  <si>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</si>
  <si>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</si>
  <si>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</si>
  <si>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</si>
  <si>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</si>
  <si>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</si>
  <si>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Проект с учетом внесенных изменений                   (тыс. рублей)</t>
  </si>
  <si>
    <t>Региональный проект "Цифровое государственное управление"</t>
  </si>
  <si>
    <t>D6</t>
  </si>
  <si>
    <t>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короновирусной инфекции"</t>
  </si>
  <si>
    <t>основное мероприятие "Расходы на поддержание санитарно-эпидемиологического благополучия населения"</t>
  </si>
  <si>
    <t>W0</t>
  </si>
  <si>
    <t xml:space="preserve">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</si>
  <si>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</si>
  <si>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</si>
  <si>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</si>
  <si>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</si>
  <si>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</si>
  <si>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Муниципальная программа  "Культурное пространство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</si>
  <si>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</si>
  <si>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</si>
  <si>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</si>
  <si>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</si>
  <si>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основное мероприятие "Повышение уровня благоустройства и комфорта дворовых территорий в условиях сложившейся застройки"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</si>
  <si>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</si>
  <si>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</si>
  <si>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</si>
  <si>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</si>
  <si>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</si>
  <si>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</si>
  <si>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</si>
  <si>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</si>
  <si>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</si>
  <si>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</si>
  <si>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</si>
  <si>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</si>
  <si>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</si>
  <si>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</si>
  <si>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</si>
  <si>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</si>
  <si>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</si>
  <si>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</si>
  <si>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</si>
  <si>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</si>
  <si>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</si>
  <si>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</si>
  <si>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</si>
  <si>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</si>
  <si>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</si>
  <si>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</si>
  <si>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</si>
  <si>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</si>
  <si>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</si>
  <si>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</si>
  <si>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</si>
  <si>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</si>
  <si>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основное мероприятие "Строительство (реконструкция) спортивных сооружений"</t>
  </si>
  <si>
    <t>основное мероприятие "Строительство городского кладбища"</t>
  </si>
  <si>
    <t>1410300000</t>
  </si>
  <si>
    <t>2020299990</t>
  </si>
  <si>
    <t>Решение Думы города Мегиона от 18.12.2020 №37 (утверждённый бюджет)                                                      (тыс. рублей)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</si>
  <si>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</si>
  <si>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единого порядка содержания объектов внешнего благоустройства "</t>
  </si>
  <si>
    <t>Инициативный проект "Создание объекта, предназначенного для содержания животных"</t>
  </si>
  <si>
    <t>Решение Думы города Мегиона от 19.02.2021 №50 (уточненный  бюджет)                                                      (тыс. рублей)</t>
  </si>
  <si>
    <t>основное мероприятие "Развитие сети спортивных объектов шаговой доступности"</t>
  </si>
  <si>
    <t>основное мероприятие "Совершенствование системы оповещения населения города"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</si>
  <si>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</si>
  <si>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</si>
  <si>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Решение Думы города Мегиона от 21.05.2021 №75 (уточненный  бюджет)                                                      (тыс. рублей)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</si>
  <si>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</si>
  <si>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Инициативный проект "Организация благоустройства территории в районе дома 11 по улице Строителей и строения 13/2 по улице Строителей в городе Мегион"</t>
  </si>
  <si>
    <t>Инициативный проект "Организация детской площадки в районе домов 30, 30/1, 30/2 по улице Ленина, в поселке городского типа Высокий, города Мегион"</t>
  </si>
  <si>
    <t>Инициативный проект "Организация благоустройства территории в районе дома 7 улицы Льва Толстого и домов 1 и 3 улицы 70 лет Октября в поселке городского типа Высокий, города Мегиона"</t>
  </si>
  <si>
    <t>Инициативный проект "Организация благоустройства территории в районе строения 13 по улице Новая в городе Мегионе"</t>
  </si>
  <si>
    <t>Инициативный проект "Организация благоустройства территории, расположенной в районе строения 4 по улице Нефтяников в городе Мегион"</t>
  </si>
  <si>
    <t>Региональный проект "Акселерация субъектов малого и среднего предпринимательства"</t>
  </si>
  <si>
    <t>I5</t>
  </si>
  <si>
    <t xml:space="preserve">                        Информация об изменении показателей объема бюджетных ассигнований на реализацию муниципальных программ и непрограммных направлений деятельности 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</si>
  <si>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</si>
  <si>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основное мероприятие "Дополнительное финансовое обеспечение мероприятий в виде возмещения фактических расходов на проезд автомобильным транспортом общего пользования"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</si>
  <si>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</si>
  <si>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</si>
  <si>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>основное мероприятие "Подготовка образовательных организаций организаций молодежной политики к осенне-зимнему периоду, к новому учебному году"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</si>
  <si>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</si>
  <si>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</si>
  <si>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подпрограмма "Проведение информационной кампании по профилактике заболеваний и формированию здорового образа жизни"</t>
  </si>
  <si>
    <t xml:space="preserve">Региональный проект "Создание условий для легкого старта и комфортного ведения бизнеса"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</si>
  <si>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Решение Думы города Мегиона от 19.11.2021 №127 (уточненный  бюджет)                                                      (тыс. 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</si>
  <si>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5 000,0 тыс. рублей - увеличен объем бюджетных ассигнований для организации отдыха детей и подростков за счет средств благотворительных пожертвований ПАО "СН-МНГ" (средства местного бюджета);                                                                                                                                                                                                                     </t>
  </si>
  <si>
    <t xml:space="preserve">(-) 977,0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несовершеннолетних в возрасте от 14 до 18 лет в свободное от учёбы время) (средства бюджета автономного округа)            </t>
  </si>
  <si>
    <t>(+) 208,3 тыс.рублей - увеличен объем бюджетных ассигнований для обеспечения выполнения требований антитеррористической защищенности объекта МАУ «Дворец искусств» (Постановление администрации города от 24.11.2021 №2599) (средства местного бюджета)</t>
  </si>
  <si>
    <t>(+) 800,0 тыс. рублей - увеличен объем бюджетных ассигнований  на снос гаражей, домов (средства местного бюджета)</t>
  </si>
  <si>
    <t>(+) 10,6 тыс. рублей - увеличен объем бюджетных ассигнований путем внутреннего перераспределения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автономного округа)</t>
  </si>
  <si>
    <t>(+) 51,0 тыс. рублей - увеличен объем бюджетных ассигнований путем внутреннего перераспределения на реализацию мероприятий в области образования и молодежной политики( средства местного бюджета)</t>
  </si>
  <si>
    <t>(-) 1 210,0 тыс. рублей - уменьшен объем бюджетных ассигнований путем перераспределения экономии средств, предусмотренных на оплату временной трудозанятости подростков и молодежи (средства местного бюджета)</t>
  </si>
  <si>
    <r>
      <t xml:space="preserve">(-) 227,1 тыс. рублей - уменьшен объем бюджетных ассигнований  на сумму экономии средств путем </t>
    </r>
    <r>
      <rPr>
        <sz val="8"/>
        <color rgb="FFFF0000"/>
        <rFont val="Arial"/>
        <family val="2"/>
        <charset val="204"/>
      </rPr>
      <t xml:space="preserve">внутреннего </t>
    </r>
    <r>
      <rPr>
        <sz val="8"/>
        <rFont val="Arial"/>
        <family val="2"/>
        <charset val="204"/>
      </rPr>
      <t xml:space="preserve">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(-) 159,6 тыс. рублей - уменьшен объем бюджетных ассигнований  на сумму экономии средств путем внутреннего перераспределения.    </t>
    </r>
  </si>
  <si>
    <t>(+) 200,0 тыс. рублей - увеличен объем бюджетных ассигнований на начисления на выплаты по оплате труда (средства местного бюджета)</t>
  </si>
  <si>
    <t>(+) 225,0 тыс. рублей - увеличен объем бюджетных ассигнований путем перераспределения на реализацию мероприятий в области образования и молодежной политики ( средства местного бюджета)</t>
  </si>
  <si>
    <r>
      <t xml:space="preserve">(-) 239,4 тыс. рублей -уменьшен объем бюджетных ассигнований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для реализации мероприятий в области физической культуры и спорта (средства местного бюджета);                                                                                                                (-) 67,1 тыс. рублей - уменьшен объем бюджетных ассигнований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на реализацию мероприятий по приобретению спортивного оборудования и инвентаря.</t>
    </r>
  </si>
  <si>
    <r>
      <t xml:space="preserve">(+) 239,4 тыс. рублей -увеличен объем бюджетных ассигнований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для реализации мероприятий в области физической культуры и спорта (средства местного бюджета);                                                                                                                                                                                 (+) 67,1 тыс. рублей - увеличен объем бюджетных ассигнований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на реализацию мероприятий по приобретению спортивного оборудования и инвентаря.</t>
    </r>
  </si>
  <si>
    <r>
      <t xml:space="preserve">(-) 0,4 тыс. рублей - уменьшен объем бюджетных ассигнований  на сумму экономии средств путем </t>
    </r>
    <r>
      <rPr>
        <sz val="8"/>
        <color rgb="FFFF0000"/>
        <rFont val="Arial"/>
        <family val="2"/>
        <charset val="204"/>
      </rPr>
      <t xml:space="preserve">внутреннего </t>
    </r>
    <r>
      <rPr>
        <sz val="8"/>
        <rFont val="Arial"/>
        <family val="2"/>
        <charset val="204"/>
      </rPr>
      <t xml:space="preserve">перераспределения для выплаты компенсации расходов на оплату стоимости проезда и провоза багажа к месту использования отпуска и обратно работникам (средства местного бюджета)    </t>
    </r>
  </si>
  <si>
    <r>
      <t>(+) 0,4 тыс. рублей -увеличен объем бюджетных ассигнований путем</t>
    </r>
    <r>
      <rPr>
        <sz val="8"/>
        <color rgb="FFFF0000"/>
        <rFont val="Arial"/>
        <family val="2"/>
        <charset val="204"/>
      </rPr>
      <t xml:space="preserve"> внутреннего</t>
    </r>
    <r>
      <rPr>
        <sz val="8"/>
        <rFont val="Arial"/>
        <family val="2"/>
        <charset val="204"/>
      </rPr>
      <t xml:space="preserve"> перераспределения для выплаты компенсации расходов на оплату стоимости проезда и провоза багажа к месту использования отпуска и обратно работникам (средства местного бюджета)      </t>
    </r>
  </si>
  <si>
    <t>(+) 0,1 тыс.рублей - увеличен объем бюджетных ассигнований на государственную поддержку отрасли культуры за счет средств резервного фонда Правительства Российской Федерации (средства автономного округа);</t>
  </si>
  <si>
    <t>(-) 918,7 тыс. рублей – уменьшен объем бюджетных ассигнований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(средства бюджета автономного округа)</t>
  </si>
  <si>
    <t>(+) 490 300,0 тыс. рублей – увеличен объем бюджетных ассигнований на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оказывающим коммунальные услуги населению городского округа, связанных с погашением задолженности за потребленные топливно-энергетические ресурсы (средства бюджета автономного округа)</t>
  </si>
  <si>
    <t>(-) 239,2 тыс. рублей - уменьшен объем бюджетных ассигнований по благоустройству территорий муниципальных образований в рамках регионального проекта "Формирование комфортной городской среды" (в том числе: средства бюджета автономного округа 203,3 тыс. рублей, средства местного бюджета 35,9 тыс. рублей)</t>
  </si>
  <si>
    <t>(-) 409,3 тыс. рублей - уменьшен объем бюджетных ассигнований с содержания МКУ "УГЗН" (средства местного бюджета)</t>
  </si>
  <si>
    <t>(+) 57,9 тыс. рублей - увеличен объем бюджетных ассигнований на обслуживание муниципального внутреннего долга (средства местного бюбджета)</t>
  </si>
  <si>
    <t>(-) 172,0 тыс. рублей - уменьшен объем бюджетных ассигнований с содержания департамента муниципальной собственности (средства местного бюджета)</t>
  </si>
  <si>
    <t xml:space="preserve">(-) 50,0 тыс. рублей - уменьшен объем бюджетных ассигнвоаний с содержания МКУ "Служба обеспечения" на снос зданий (средства местного бюджета)                                                                                                                                                                                                                           </t>
  </si>
  <si>
    <t>(-) 32,4 тыс. рублей - уменьшен объем бюджетных ассигнований с содержания Думы города Мегиона на снос зданий (средства местного бюджета)</t>
  </si>
  <si>
    <t>(-) 143,2 тыс. рублей - уменьшен объем бюджетных ассигнований с содержания контрольно-счетной палаты (средства местного бюджета)</t>
  </si>
  <si>
    <r>
      <t>(-) 1 000,0 тыс. рублей - уменьшен объем бюджетных ассигнований  на сумму экономии средств путем перераспределения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на содержание автомобильных дорог, проездов, элементов обустройства улично-дорожной сети (средства местного бюджета)  </t>
    </r>
  </si>
  <si>
    <r>
      <t xml:space="preserve">(-) 70,9 тыс. рублей - уменьшен объем бюджетных ассигнований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color theme="1"/>
        <rFont val="Arial"/>
        <family val="2"/>
        <charset val="204"/>
      </rPr>
      <t xml:space="preserve"> перераспределения в целях заключения договоров на оказание услуг по физической охране (МАОУ «СОШ №9»);                                                                                                                                            (-) 175,5 тыс. рублей - уменьшен объем бюджетных ассигнований с содержания ДОиМП на снос зданий (средства местного бюджета)</t>
    </r>
  </si>
  <si>
    <t>(-) 2,6 тыс. рублей - уменьшен объем бюджетных ассигнований в связи с экономией для оплаты командировочных расходов работников МАУ "Региональный историко-культурный и экологический центр";                                                                                                              (+)999,9 тыс.рублей - увеличен объем бюджетных ассигнований на приобретение автомобиля Лада Ларгус Кросс для МБУ «Централизованная библиотечная система» (распоряжение Правительства Тюменской области от 03.12.2021 №1109-рп)(средства местного бюджета);                                                                                                                                                                                                         (-) 3,3 тыс.рублей - уменьшен объем бюджетных ассигнований в рамках муниципальной программы "Культурное пространство в городе Мегионе на 2019-2025 годы" на выплату заработной платы работникам МБОУ ДО "Детская художественная школа" (средства местного бюджета) ;                                                                                                                                                                                 (-) 42,5 тыс.рублей - уменьшен объем бюджетных ассигнований в рамках муниципальной программы "Культурное пространство в городе Мегионе на 2019-2025 годы" на начисления по оплате труда работников МБУ "Централизованная библиотечная система" (средства местного бюджета)</t>
  </si>
  <si>
    <t>(+) 500,0 тыс.рублей - увеличен объем бюджетных ассигнований и лимитов бюджетных обязательств на приобретение новогодних подарков для одаренных, талантливых детей (средства местного бюджета)</t>
  </si>
  <si>
    <t xml:space="preserve"> (-) 208,3 тыс. рублей - уменьшен объем бюджетных ассигнований путем перераспределения, в целях обеспечения выполнения требований антитеррористической защищенности объекта МАУ «Дворец искусств» (средства местного бюджета)  </t>
  </si>
  <si>
    <t>(+) 246,0 тыс.рублей - увеличен объем бюджетных обязательств на начисления на выплаты по оплате труда работников МАУ "ИА "Мегионские новости"</t>
  </si>
  <si>
    <t>(+) 0,1 тыс.рублей - увеличен объем бюджетных ассигнований на государственную поддержку отрасли культуры за счет средств резервного фонда Правительства Российской Федерации (средства автономного округа);                                                                                                                                                                                                    (-) 2,6 тыс. рублей - уменьшен объем бюджетных ассигнований в связи с экономией для оплаты командировочных расходов работников МАУ "Региональный историко-культурный и экологический центр";                                                                                                                                                                                              (+)999,9 тыс.рублей - увеличен объем бюджетных ассигнований на приобретение автомобиля Лада Ларгус Кросс для МБУ «Централизованная библиотечная система» (распоряжение Правительства Тюменской области от 03.12.2021 №1109-рп)(средства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3,3 тыс.рублей - уменьшен объем бюджетных ассигнований в рамках муниципальной программы "Культурное пространство в городе Мегионе на 2019-2025 годы" на выплату заработной платы работникам МБОУ ДО "Детская художественная школа" (средства местного бюджета)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42,5 тыс.рублей - уменьшен объем бюджетных ассигнований в рамках муниципальной программы "Культурное пространство в городе Мегионе на 2019-2025 годы" на начисления по оплате труда работников МБУ "Централизованная библиотечная система" (средства местного бюджета);                                                                                                                                                                                    (+) 208,3 тыс.рублей - увеличен объем бюджетных ассигнований для обеспечения выполнения требований антитеррористической защищенности объекта МАУ «Дворец искусств» (Постановление администрации города от 24.11.2021 №2599) (средства местного бюджета)</t>
  </si>
  <si>
    <r>
      <t xml:space="preserve">(+) 27,2 тыс. рублей - увеличен объем бюджетных ассигнований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на возмещение затрат в части расходов по присмотру и уходу (расходы на приобретение прочих материальных запасов (средства местного бюджета)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567,0 тыс. рублей - увеличен объем бюджетных ассигнований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в целях заключения договоров на оказание услуг по физической охране (средства местного бюджета);                                                                                                                                               (+) 130,0 тыс. рублей - увеличен объем бюджетных ассигнований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в целях приобретения средств для обеспечения мероприятий, связанных с профилактикой и устранением последствий распространения новой коронавирусной инфекции (COVID-19)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(+)238,8 тыс. рублей - увеличен объем бюджетных ассигнований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для выплаты компенсации расходов на оплату стоимости проезда и провоза багажа к месту использования отпуска и обратно работникам;                                                                                                                                                                                                                     (+) 0,7  тыс. рублей - увеличен объем бюджетных ассигнований путем </t>
    </r>
    <r>
      <rPr>
        <sz val="8"/>
        <color rgb="FFFF0000"/>
        <rFont val="Arial"/>
        <family val="2"/>
        <charset val="204"/>
      </rPr>
      <t>внутреннего</t>
    </r>
    <r>
      <rPr>
        <sz val="8"/>
        <rFont val="Arial"/>
        <family val="2"/>
        <charset val="204"/>
      </rPr>
      <t xml:space="preserve"> перераспределения в целях оплаты расходов по прохождению медицинского осмотра вновь принятых работников (средства местного бюджета);                                                                                     (+) 200,0 тыс. рублей - увеличен объем бюджетных ассигнований путем внутреннего перераспределения в целях  приобретения моющих и дезинфицирующих средств, на заключение договоров по уборке и вывозу снега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742,7 тыс. рублей - уменьшен объем бюджетных ассигнований  на сумму экономии средств путем внутреннего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(+) 108,6,0 тыс. рублей - увеличен объем бюджетных ассигнований путем</t>
    </r>
    <r>
      <rPr>
        <sz val="8"/>
        <color rgb="FFFF0000"/>
        <rFont val="Arial"/>
        <family val="2"/>
        <charset val="204"/>
      </rPr>
      <t xml:space="preserve"> внутреннего</t>
    </r>
    <r>
      <rPr>
        <sz val="8"/>
        <rFont val="Arial"/>
        <family val="2"/>
        <charset val="204"/>
      </rPr>
      <t xml:space="preserve"> перераспределения на содержание учреждений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(-) 10,6 тыс. рублей - уменьшен объем бюджетных ассигнований путем внутреннего перераспределения для выплаты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105,3 тыс. рублей - уменьшен объем бюджетных ассигнований путем перераспределения для реализации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(-) 31,9 тыс. рублей - уменьшен объем бюджетных ассигнований путем перераспределения на начисления на выплаты по оплате труда (МАУ "ЦГиПВ им. Е.И.Горбатова") ( средства местного бюджета);                                                                                                                                      (+) 46,0 тыс.рублей  - увеличен объем бюджетных ассигнований на начисления на выплаты по оплате труда работникам учреждения образования (средства местного бюджета)</t>
    </r>
  </si>
  <si>
    <t>(-) 119,7 тыс. рублей - уменьшен объем бюджетных ассигнований путем перераспределения для реализации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(+) 31,9 тыс. рублей - увеличен объем бюджетных ассигнований путем перераспределения на начисления на выплаты по оплате труда ( средства местного бюджета);                                                                                                                                                                           (+) 424,0 тыс.рублей увеличен объем бюджетных ассигнований на начисления на выплаты по оплате труда работникам учреждения образования (средства местного бюджета)</t>
  </si>
  <si>
    <t>(+) 246,0 тыс.рублей - увеличен объем бюджетных ассигнований на начисления на выплаты по оплате труда работников МАУ "ИА "Мегионские новости"</t>
  </si>
  <si>
    <t>(+) 5 000,0 тыс. рублей - увеличен объем бюджетных ассигнований для организации отдыха детей и подростков за счет средств благотворительных пожертвований ПАО "СН-МНГ" (средства местного бюджета);                                                                                                                          (-) 119,7 тыс. рублей - уменьшен объем бюджетных ассигнований путем перераспределения для реализации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(+)31,9 тыс. рублей - увеличен объем бюджетных ассигнований путем перераспределения на начисления на выплаты по оплате труда ( 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(-) 1 210,0 тыс. рублей - уменьшен объем бюджетных ассигнований путем перераспределения экономии средств, предусмотренных на оплату временной трудозанятости подростков и молодежи (средства местного бюджета);                                                                                                                            (+) 424,0 тыс.рублей- увеличен объем бюджетных ассигнований на начисления на выплаты по оплате труда работникам учреждения образования (средства местного бюджета)</t>
  </si>
  <si>
    <t>(-) 240,0 тыс.рублей- уменьшен объем бюджетных ассигнований на сумму экономии средств  (средства местного бюджета)</t>
  </si>
  <si>
    <t>(-) 240,0 тыс.рублей- уменьшен объем бюджетных ассигнований, в связи с образовавшейся экономией средств (средства местного бюджета)</t>
  </si>
  <si>
    <t>(+) 14 570,5 тыс. рублей - увеличен объем бюджетных ассигнований  на содержание и текущий ремонт автомобильных дорог,  проездов, элементов обустройства улично-дорожной сети города Мегиона (средства местного бюджета)</t>
  </si>
  <si>
    <t>(-) 187,4 тыс. рублей - уменьшен объем бюджетных ассигнований, в связи со сложившейся экономией в результате проведения процедур закупки товаров, работ, услуг (средства местного бюджета)</t>
  </si>
  <si>
    <t>(-) 112,6 тыс. рублей - уменьшен объем бюджетных ассигнований, в связи со сложившейся экономией в результате проведения процедур закупки товаров, работ, услуг (средства местного бюджета)</t>
  </si>
  <si>
    <t>(-) 200,0 тыс. рублей - уменьшен объем бюджетных ассигнований с содержания МКУ "Управление капитального строительства и жилищно-коммунального комплекса" (средства местного бюджета);                                                                                                                                                                                (+) 210,0 тыс. рублей - увеличен объем бюджетных ассигнований на начисления на выплаты по оплате труда (средства местного бюджета)</t>
  </si>
  <si>
    <t>(-) 724,0 тыс. рублей - уменьшен объем бюджетных ассигнований с содержания администрации на содержание автомобильных дорог, проездов, элементов обустройства улично-дорожной сети (средства местного бюджета);                                                                                                                                                             (+) 104,5 тыс. рублей - увеличен объем бюджетных ассигнований на начисления на выплаты по оплате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(+) 2 422,0 тыс. рублей - увеличен объем бюджетных ассигнований на заработную плату и начисления на выплаты по оплате труда (средства местного бюджета)</t>
  </si>
  <si>
    <t xml:space="preserve">(-) 32,4 тыс. рублей - уменьшен объем бюджетных ассигнований в связи с экономией бюджетных ассигнований, предусмотренных на содержание Думы города Мегиона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143,2 тыс. рублей - уменьшен объем бюджетных ассигнований в связи с экономией бюджетных ассигнований, предусмотренных на содержание контрольно-счетной палаты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977,0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несовершеннолетних в возрасте от 14 до 18 лет в свободное от учёбы время) (средства бюджета автономного округа)        </t>
  </si>
  <si>
    <t>(-) 203,3 тыс. рублей - уменьшен объем целевых межбюджетных трансфертов по благоустройству территорий муниципальных образований в рамках регионального проекта "Формирование комфортной городской среды" 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35,9 тыс. рублей - уменьшен объем бюджетных ассигнований, предусмотренный в целях соблюдения доли софинансирования субсидий на благоустройство территорий муниципальных образований в рамках регионального проекта "Формирование комфортной городской среды" (средства местного бюджета)</t>
  </si>
  <si>
    <t>(-) 172,0 тыс. рублей - уменьшен объем бюджетных ассигнований в связи с экономией бюджетных ассигнований, предусмотренных на содержание департамента муниципальной собственности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187,4 тыс. рублей - уменьшен объем бюджетных ассигнований, в связи со сложившейся экономией в результате проведения процедур закупки товаров, работ, услуг (средства местного бюджета)</t>
  </si>
  <si>
    <t>(+) 57,9 тыс. рублей - увеличен объем бюджетных ассигнований, предусмотренных на обслуживание муниципального внутреннего долга (средства местного бюджета)</t>
  </si>
  <si>
    <t>(-) 409,3 тыс. рублей - уменьшен объем бюджетных ассигнований в связи с экономией бюджетных ассигнований, предусмотренных на содержание МКУ "УГЗН" (средства местного бюджета)</t>
  </si>
  <si>
    <t>приложение  2</t>
  </si>
  <si>
    <t xml:space="preserve">(-) 724,0 тыс. рублей - уменьшен объем бюджетных ассигнований, предусмотренный на компенсацию расходов на оплату стоимости проезда и провоза багажа к месту использования отпуска и обратно в связи с отсутствием фактической потребности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2 526,5 тыс. рублей - увеличен объем бюджетных ассигнований на начисления на выплаты по оплате труда работникам администрации города (средства местного бюджета);                                                                                                                                                               </t>
  </si>
  <si>
    <t>(-) 918,7 тыс. рублей – 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490 300,0 тыс. рублей – увеличен объем целевых межбюджетных тарнсфертов на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оказывающим коммунальные услуги населению городского округа, связанных с погашением задолженности за потребленные топливно-энергетические ресурсы (средства бюджета автономного округа)</t>
  </si>
  <si>
    <t>(+) 14 570,5 тыс. рублей - увеличен объем бюджетных ассигнований   на содержание и текущий ремонт автомобильных дорог,  проездов, элементов обустройства улично-дорожной сети города Мегиона в рамках заключенного муниципального контракта  и фактически выполненных объемов работ (средства местного бюджета)</t>
  </si>
  <si>
    <t>(+) 800,0 тыс. рублей - увеличен объем бюджетных ассигнований в целях заключение муниципальных контрактов на выполнение работ по сносу административного здания (ул.Новая д.7 строение 1В) и демонтаж нежилого здания РММ (средства местного бюджета)</t>
  </si>
  <si>
    <t>(-) 50,0 тыс. рублей - уменьшен объем бюджетных ассигнований в связи с экономией бюджетных ассигнований, предусмотренных на содержание МКУ "Служба обеспечения"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200,0 тыс. рублей - уменьшен объем бюджетных ассигнований в связи с экономией бюджетных ассигнований, предусмотренных на содержание МКУ "Управление капитального строительства и жилищно-коммунального комплекса"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210,0 тыс. рублей - увеличен объем бюджетных ассигнований на начисления на выплаты по оплате труда МКУ "УКСиЖКК" (средства местного бюджета)</t>
  </si>
  <si>
    <t xml:space="preserve">(+) 57,6 тыс.рублей  - увеличен объем бюджетных ассигнований на компенсацию расходов на оплату стоимости проезда и провоза багажа к месту отдыха и обратно МБОУ ДО "Детская школа искусств им.А.М.Кузьмина;                                                                                           (+) 2,6 тыс.рублей  - увеличен объем бюджетных ассигнований на оплату командировочных расходов МАУ "Региональный историко-культурный и экологический центр" (средства местного бюдежта) ;                                                                                           (+) 3,3 тыс.рублей - уменьшен объем бюджетных ассигнований в рамках муниципальной программы "Культурное пространство в городе Мегионе на 2019-2025 годы" на выплату заработной платы работникам МБОУ ДО "Детская художественная школа" (средства местного бюджета) ;                                                                                                                                                                                 (+) 42,5 тыс.рублей - уменьшен объем бюджетных ассигнований в рамках муниципальной программы "Культурное пространство в городе Мегионе на 2019-2025 годы" на начисления по оплате труда работников МБУ "Централизованная библиотечная система" (средства местного бюджета);                                                                                                                                                                                        (+)61,0 тыс.рублей - увеличен объем бюджетных обязательств и лимитов бюджетных обязательств на начисления на выплаты по оплате труда работников учреждений культуры </t>
  </si>
  <si>
    <t xml:space="preserve">(+) 57,6 тыс.рублей  - увеличен объем бюджетных ассигнований на компенсацию расходов на оплату стоимости проезда и провоза багажа к месту отдыха и обратно МБОУ ДО "Детская школа искусств им.А.М.Кузьмина;                                                                                                                                                            (+) 2,6 тыс.рублей  - увеличен объем бюджетных ассигнований на оплату командировочных расходов МАУ "Региональный историко-культурный и экологический центр" (средства местного бюдежта) ;                                                                                                                                                                                                          (+) 3,3 тыс.рублей - уменьшен объем бюджетных ассигнований в рамках муниципальной программы "Культурное пространство в городе Мегионе на 2019-2025 годы" на выплату заработной платы работникам МБОУ ДО "Детская художественная школа" (средства местного бюджета) ;                                                                                                                                                                                 (+) 42,5 тыс.рублей - уменьшен объем бюджетных ассигнований в рамках муниципальной программы "Культурное пространство в городе Мегионе на 2019-2025 годы" на начисления по оплате труда работников МБУ "Централизованная библиотечная система"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(+) 61,0 тыс.рублей - увеличен объем бюджетных ассигнований на начисления на выплаты по оплате труда работников учреждений культуры </t>
  </si>
  <si>
    <t xml:space="preserve">(+) 123,0 тыс. рублей - увеличен объем бюджетных ассигнований путем внутреннего перераспределения для выплаты компенсации расходов на оплату стоимости проезда и провоза багажа к месту использования отпуска и обратно работникам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175,5 тыс. рублей - уменьшен объем бюджетных ассигнований в связи с экономией бюджетных ассигнований, предусмотренных на содержание ДОиМП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105,3 тыс. рублей - уменьшен объем бюджетных ассигнований путем перераспределения для реализации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31,9 тыс. рублей - уменьшен объем бюджетных ассигнований путем перераспределения на начисления на выплаты по оплате труда (МАУ "ЦГиПВ им. Е.И.Горбатова") ( 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1 000,0 тыс. рублей - уменьшен объем бюджетных ассигнований  на сумму экономии средств путем перераспределения на содержание автомобильных дорог, проездов, элементов обустройства улично-дорожной сети (средства местного бюджета);                                                                                           (+) 46,0 тыс.рублей  - увеличен объем бюджетных ассигнований на начисления на выплаты по оплате труда работникам учреждения образования (средства местного бюджета)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</si>
</sst>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#,##0.00;[Red]\-#,##0.00;0.00"/>
    <numFmt numFmtId="166" formatCode="0000000000"/>
    <numFmt numFmtId="167" formatCode="00.0.00.00000"/>
    <numFmt numFmtId="168" formatCode="#,##0.0;[Red]\-#,##0.0;0.0"/>
    <numFmt numFmtId="169" formatCode="#,##0.00_ ;[Red]\-#,##0.00\ "/>
    <numFmt numFmtId="170" formatCode="_-* #,##0.00_р_._-;\-* #,##0.00_р_._-;_-* &quot;-&quot;??_р_._-;_-@_-"/>
    <numFmt numFmtId="171" formatCode="_-* #,##0.0_-;\-* #,##0.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4" tint="-0.49998474074526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2" fillId="0" borderId="0"/>
    <xf numFmtId="0" fontId="1" fillId="0" borderId="41" applyNumberFormat="0">
      <alignment horizontal="right"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alignment horizontal="center" vertical="center" wrapText="1"/>
      <protection hidden="1"/>
    </xf>
    <xf numFmtId="165" fontId="3" fillId="0" borderId="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Border="1" applyAlignment="1" applyProtection="1">
      <protection hidden="1"/>
    </xf>
    <xf numFmtId="49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4" xfId="1" applyNumberFormat="1" applyFont="1" applyFill="1" applyBorder="1" applyAlignment="1" applyProtection="1">
      <protection hidden="1"/>
    </xf>
    <xf numFmtId="0" fontId="1" fillId="0" borderId="22" xfId="1" applyNumberFormat="1" applyFont="1" applyFill="1" applyBorder="1" applyAlignment="1" applyProtection="1">
      <protection hidden="1"/>
    </xf>
    <xf numFmtId="167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>
      <alignment horizontal="left" vertical="center" wrapText="1"/>
    </xf>
    <xf numFmtId="165" fontId="3" fillId="0" borderId="8" xfId="1" applyNumberFormat="1" applyFont="1" applyFill="1" applyBorder="1" applyAlignment="1" applyProtection="1">
      <alignment vertical="center"/>
      <protection hidden="1"/>
    </xf>
    <xf numFmtId="165" fontId="3" fillId="0" borderId="7" xfId="1" applyNumberFormat="1" applyFont="1" applyFill="1" applyBorder="1" applyAlignment="1" applyProtection="1">
      <alignment vertical="center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6" xfId="1" applyNumberFormat="1" applyFont="1" applyFill="1" applyBorder="1" applyAlignment="1" applyProtection="1">
      <alignment horizontal="left" vertical="center" wrapText="1"/>
      <protection hidden="1"/>
    </xf>
    <xf numFmtId="168" fontId="3" fillId="0" borderId="6" xfId="3" applyNumberFormat="1" applyFont="1" applyFill="1" applyBorder="1" applyAlignment="1" applyProtection="1">
      <alignment vertical="center" wrapText="1"/>
      <protection hidden="1"/>
    </xf>
    <xf numFmtId="0" fontId="10" fillId="0" borderId="6" xfId="0" applyFont="1" applyFill="1" applyBorder="1" applyAlignment="1">
      <alignment horizontal="justify" vertical="center"/>
    </xf>
    <xf numFmtId="165" fontId="10" fillId="0" borderId="6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8" xfId="1" applyNumberFormat="1" applyFont="1" applyFill="1" applyBorder="1" applyAlignment="1" applyProtection="1">
      <alignment vertical="center"/>
      <protection hidden="1"/>
    </xf>
    <xf numFmtId="165" fontId="3" fillId="0" borderId="39" xfId="1" applyNumberFormat="1" applyFont="1" applyFill="1" applyBorder="1" applyAlignment="1" applyProtection="1">
      <alignment vertical="center"/>
      <protection hidden="1"/>
    </xf>
    <xf numFmtId="0" fontId="10" fillId="0" borderId="40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3" fillId="0" borderId="7" xfId="1" applyNumberFormat="1" applyFont="1" applyFill="1" applyBorder="1" applyAlignment="1" applyProtection="1">
      <alignment vertical="center"/>
      <protection hidden="1"/>
    </xf>
    <xf numFmtId="168" fontId="3" fillId="0" borderId="8" xfId="1" applyNumberFormat="1" applyFont="1" applyFill="1" applyBorder="1" applyAlignment="1" applyProtection="1">
      <alignment vertical="center"/>
      <protection hidden="1"/>
    </xf>
    <xf numFmtId="168" fontId="3" fillId="0" borderId="38" xfId="1" applyNumberFormat="1" applyFont="1" applyFill="1" applyBorder="1" applyAlignment="1" applyProtection="1">
      <alignment vertical="center"/>
      <protection hidden="1"/>
    </xf>
    <xf numFmtId="168" fontId="3" fillId="0" borderId="39" xfId="1" applyNumberFormat="1" applyFont="1" applyFill="1" applyBorder="1" applyAlignment="1" applyProtection="1">
      <alignment vertical="center"/>
      <protection hidden="1"/>
    </xf>
    <xf numFmtId="0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22" xfId="1" applyNumberFormat="1" applyFont="1" applyFill="1" applyBorder="1" applyAlignment="1" applyProtection="1">
      <alignment vertical="center" wrapText="1"/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7" fillId="0" borderId="0" xfId="2" applyFont="1" applyFill="1" applyAlignment="1">
      <alignment horizontal="right"/>
    </xf>
    <xf numFmtId="0" fontId="1" fillId="0" borderId="0" xfId="1" applyFill="1"/>
    <xf numFmtId="0" fontId="1" fillId="0" borderId="1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15" xfId="1" applyFill="1" applyBorder="1" applyProtection="1">
      <protection hidden="1"/>
    </xf>
    <xf numFmtId="0" fontId="1" fillId="0" borderId="1" xfId="1" applyFill="1" applyBorder="1" applyProtection="1">
      <protection hidden="1"/>
    </xf>
    <xf numFmtId="0" fontId="1" fillId="0" borderId="1" xfId="1" applyFill="1" applyBorder="1"/>
    <xf numFmtId="169" fontId="1" fillId="0" borderId="0" xfId="1" applyNumberFormat="1" applyFill="1"/>
    <xf numFmtId="0" fontId="1" fillId="0" borderId="14" xfId="1" applyFill="1" applyBorder="1" applyProtection="1">
      <protection hidden="1"/>
    </xf>
    <xf numFmtId="167" fontId="3" fillId="0" borderId="10" xfId="1" applyNumberFormat="1" applyFont="1" applyFill="1" applyBorder="1" applyAlignment="1" applyProtection="1">
      <alignment wrapText="1"/>
      <protection hidden="1"/>
    </xf>
    <xf numFmtId="0" fontId="1" fillId="0" borderId="0" xfId="1" applyFill="1" applyBorder="1"/>
    <xf numFmtId="167" fontId="3" fillId="0" borderId="0" xfId="1" applyNumberFormat="1" applyFont="1" applyFill="1" applyBorder="1" applyAlignment="1" applyProtection="1">
      <alignment wrapText="1"/>
      <protection hidden="1"/>
    </xf>
    <xf numFmtId="0" fontId="1" fillId="0" borderId="0" xfId="1" applyFill="1" applyAlignment="1">
      <alignment vertical="top"/>
    </xf>
    <xf numFmtId="167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1" applyFill="1" applyBorder="1" applyProtection="1">
      <protection hidden="1"/>
    </xf>
    <xf numFmtId="0" fontId="1" fillId="0" borderId="22" xfId="1" applyFill="1" applyBorder="1" applyProtection="1">
      <protection hidden="1"/>
    </xf>
    <xf numFmtId="167" fontId="3" fillId="0" borderId="22" xfId="1" applyNumberFormat="1" applyFont="1" applyFill="1" applyBorder="1" applyAlignment="1" applyProtection="1">
      <alignment wrapText="1"/>
      <protection hidden="1"/>
    </xf>
    <xf numFmtId="167" fontId="3" fillId="0" borderId="22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1" applyNumberFormat="1" applyFill="1" applyBorder="1" applyProtection="1">
      <protection hidden="1"/>
    </xf>
    <xf numFmtId="171" fontId="1" fillId="0" borderId="0" xfId="46" applyNumberFormat="1" applyFont="1" applyFill="1"/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12" xfId="1" applyNumberFormat="1" applyFont="1" applyFill="1" applyBorder="1" applyAlignment="1" applyProtection="1">
      <alignment vertical="center"/>
      <protection hidden="1"/>
    </xf>
    <xf numFmtId="168" fontId="5" fillId="2" borderId="12" xfId="1" applyNumberFormat="1" applyFont="1" applyFill="1" applyBorder="1" applyAlignment="1" applyProtection="1">
      <alignment vertical="center"/>
      <protection hidden="1"/>
    </xf>
    <xf numFmtId="165" fontId="2" fillId="2" borderId="11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7" xfId="1" applyNumberFormat="1" applyFont="1" applyFill="1" applyBorder="1" applyAlignment="1" applyProtection="1">
      <alignment vertical="center"/>
      <protection hidden="1"/>
    </xf>
    <xf numFmtId="165" fontId="5" fillId="2" borderId="7" xfId="1" applyNumberFormat="1" applyFont="1" applyFill="1" applyBorder="1" applyAlignment="1" applyProtection="1">
      <alignment vertical="center"/>
      <protection hidden="1"/>
    </xf>
    <xf numFmtId="168" fontId="2" fillId="2" borderId="7" xfId="1" applyNumberFormat="1" applyFont="1" applyFill="1" applyBorder="1" applyAlignment="1" applyProtection="1">
      <alignment vertical="center"/>
      <protection hidden="1"/>
    </xf>
    <xf numFmtId="168" fontId="5" fillId="2" borderId="7" xfId="1" applyNumberFormat="1" applyFont="1" applyFill="1" applyBorder="1" applyAlignment="1" applyProtection="1">
      <alignment vertical="center"/>
      <protection hidden="1"/>
    </xf>
    <xf numFmtId="165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2" borderId="6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7" xfId="1" applyNumberFormat="1" applyFont="1" applyFill="1" applyBorder="1" applyAlignment="1" applyProtection="1">
      <alignment horizontal="right" vertical="center"/>
      <protection hidden="1"/>
    </xf>
    <xf numFmtId="168" fontId="2" fillId="2" borderId="7" xfId="1" applyNumberFormat="1" applyFont="1" applyFill="1" applyBorder="1" applyAlignment="1" applyProtection="1">
      <alignment horizontal="right" vertical="center"/>
      <protection hidden="1"/>
    </xf>
    <xf numFmtId="0" fontId="5" fillId="2" borderId="7" xfId="1" applyNumberFormat="1" applyFont="1" applyFill="1" applyBorder="1" applyAlignment="1" applyProtection="1">
      <alignment horizontal="left" vertical="center" wrapText="1"/>
      <protection hidden="1"/>
    </xf>
    <xf numFmtId="165" fontId="5" fillId="2" borderId="7" xfId="1" applyNumberFormat="1" applyFont="1" applyFill="1" applyBorder="1" applyAlignment="1" applyProtection="1">
      <alignment horizontal="right" vertical="center"/>
      <protection hidden="1"/>
    </xf>
    <xf numFmtId="168" fontId="5" fillId="2" borderId="7" xfId="1" applyNumberFormat="1" applyFont="1" applyFill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>
      <alignment horizontal="left" vertical="center" wrapText="1"/>
    </xf>
    <xf numFmtId="166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3" fillId="3" borderId="7" xfId="1" applyNumberFormat="1" applyFont="1" applyFill="1" applyBorder="1" applyAlignment="1" applyProtection="1">
      <alignment vertical="center"/>
      <protection hidden="1"/>
    </xf>
    <xf numFmtId="168" fontId="3" fillId="3" borderId="7" xfId="1" applyNumberFormat="1" applyFont="1" applyFill="1" applyBorder="1" applyAlignment="1" applyProtection="1">
      <alignment vertical="center"/>
      <protection hidden="1"/>
    </xf>
    <xf numFmtId="165" fontId="3" fillId="3" borderId="6" xfId="1" applyNumberFormat="1" applyFont="1" applyFill="1" applyBorder="1" applyAlignment="1" applyProtection="1">
      <alignment horizontal="left" vertical="center" wrapText="1"/>
      <protection hidden="1"/>
    </xf>
    <xf numFmtId="49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11" fillId="3" borderId="6" xfId="1" applyNumberFormat="1" applyFont="1" applyFill="1" applyBorder="1" applyAlignment="1" applyProtection="1">
      <alignment horizontal="left" vertical="center" wrapText="1"/>
      <protection hidden="1"/>
    </xf>
    <xf numFmtId="168" fontId="3" fillId="3" borderId="6" xfId="3" applyNumberFormat="1" applyFont="1" applyFill="1" applyBorder="1" applyAlignment="1" applyProtection="1">
      <alignment vertical="center" wrapText="1"/>
      <protection hidden="1"/>
    </xf>
    <xf numFmtId="165" fontId="3" fillId="3" borderId="6" xfId="1" applyNumberFormat="1" applyFont="1" applyFill="1" applyBorder="1" applyAlignment="1" applyProtection="1">
      <alignment horizontal="left" vertical="top" wrapText="1"/>
      <protection hidden="1"/>
    </xf>
    <xf numFmtId="165" fontId="10" fillId="3" borderId="6" xfId="1" applyNumberFormat="1" applyFont="1" applyFill="1" applyBorder="1" applyAlignment="1" applyProtection="1">
      <alignment horizontal="left" vertical="center" wrapText="1"/>
      <protection hidden="1"/>
    </xf>
    <xf numFmtId="40" fontId="2" fillId="2" borderId="36" xfId="1" applyNumberFormat="1" applyFont="1" applyFill="1" applyBorder="1" applyAlignment="1" applyProtection="1">
      <alignment horizontal="right" vertical="center"/>
      <protection hidden="1"/>
    </xf>
    <xf numFmtId="168" fontId="2" fillId="2" borderId="36" xfId="1" applyNumberFormat="1" applyFont="1" applyFill="1" applyBorder="1" applyAlignment="1" applyProtection="1">
      <alignment horizontal="right" vertical="center"/>
      <protection hidden="1"/>
    </xf>
    <xf numFmtId="40" fontId="2" fillId="2" borderId="37" xfId="1" applyNumberFormat="1" applyFont="1" applyFill="1" applyBorder="1" applyAlignment="1" applyProtection="1">
      <alignment vertical="center"/>
      <protection hidden="1"/>
    </xf>
    <xf numFmtId="167" fontId="3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3" fillId="4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2" xfId="1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65" fontId="3" fillId="0" borderId="33" xfId="1" applyNumberFormat="1" applyFont="1" applyFill="1" applyBorder="1" applyAlignment="1" applyProtection="1">
      <alignment horizontal="left" vertical="center" wrapText="1"/>
      <protection hidden="1"/>
    </xf>
    <xf numFmtId="14" fontId="1" fillId="0" borderId="0" xfId="1" applyNumberFormat="1" applyFill="1"/>
    <xf numFmtId="167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0" xfId="1" applyNumberFormat="1" applyFont="1" applyFill="1"/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49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8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 wrapText="1"/>
    </xf>
    <xf numFmtId="168" fontId="3" fillId="5" borderId="7" xfId="1" applyNumberFormat="1" applyFont="1" applyFill="1" applyBorder="1" applyAlignment="1" applyProtection="1">
      <alignment vertical="center"/>
      <protection hidden="1"/>
    </xf>
    <xf numFmtId="0" fontId="3" fillId="0" borderId="6" xfId="0" applyFont="1" applyBorder="1" applyAlignment="1">
      <alignment vertical="center" wrapText="1"/>
    </xf>
    <xf numFmtId="165" fontId="3" fillId="5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2" borderId="6" xfId="1" applyNumberFormat="1" applyFont="1" applyFill="1" applyBorder="1" applyAlignment="1" applyProtection="1">
      <alignment horizontal="left" vertical="center" wrapText="1"/>
      <protection hidden="1"/>
    </xf>
    <xf numFmtId="0" fontId="7" fillId="4" borderId="0" xfId="2" applyFont="1" applyFill="1" applyAlignment="1">
      <alignment horizontal="right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168" fontId="3" fillId="3" borderId="26" xfId="1" applyNumberFormat="1" applyFont="1" applyFill="1" applyBorder="1" applyAlignment="1" applyProtection="1">
      <alignment horizontal="right" vertical="center"/>
      <protection hidden="1"/>
    </xf>
    <xf numFmtId="168" fontId="3" fillId="3" borderId="19" xfId="1" applyNumberFormat="1" applyFont="1" applyFill="1" applyBorder="1" applyAlignment="1" applyProtection="1">
      <alignment horizontal="right" vertical="center"/>
      <protection hidden="1"/>
    </xf>
    <xf numFmtId="168" fontId="5" fillId="2" borderId="26" xfId="1" applyNumberFormat="1" applyFont="1" applyFill="1" applyBorder="1" applyAlignment="1" applyProtection="1">
      <alignment horizontal="center" vertical="center"/>
      <protection hidden="1"/>
    </xf>
    <xf numFmtId="168" fontId="5" fillId="2" borderId="19" xfId="1" applyNumberFormat="1" applyFont="1" applyFill="1" applyBorder="1" applyAlignment="1" applyProtection="1">
      <alignment horizontal="center" vertical="center"/>
      <protection hidden="1"/>
    </xf>
    <xf numFmtId="168" fontId="5" fillId="2" borderId="26" xfId="1" applyNumberFormat="1" applyFont="1" applyFill="1" applyBorder="1" applyAlignment="1" applyProtection="1">
      <alignment horizontal="right" vertical="center"/>
      <protection hidden="1"/>
    </xf>
    <xf numFmtId="168" fontId="5" fillId="2" borderId="19" xfId="1" applyNumberFormat="1" applyFont="1" applyFill="1" applyBorder="1" applyAlignment="1" applyProtection="1">
      <alignment horizontal="right" vertical="center"/>
      <protection hidden="1"/>
    </xf>
    <xf numFmtId="0" fontId="5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165" fontId="3" fillId="2" borderId="32" xfId="1" applyNumberFormat="1" applyFont="1" applyFill="1" applyBorder="1" applyAlignment="1" applyProtection="1">
      <alignment horizontal="left" vertical="center" wrapText="1"/>
      <protection hidden="1"/>
    </xf>
    <xf numFmtId="165" fontId="3" fillId="2" borderId="33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7" fontId="3" fillId="3" borderId="9" xfId="1" applyNumberFormat="1" applyFont="1" applyFill="1" applyBorder="1" applyAlignment="1" applyProtection="1">
      <alignment horizontal="left" vertical="center" wrapText="1"/>
      <protection hidden="1"/>
    </xf>
    <xf numFmtId="167" fontId="3" fillId="3" borderId="8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7" fontId="2" fillId="2" borderId="10" xfId="1" applyNumberFormat="1" applyFont="1" applyFill="1" applyBorder="1" applyAlignment="1" applyProtection="1">
      <alignment horizontal="left" vertical="center" wrapText="1"/>
      <protection hidden="1"/>
    </xf>
    <xf numFmtId="167" fontId="5" fillId="2" borderId="4" xfId="1" applyNumberFormat="1" applyFont="1" applyFill="1" applyBorder="1" applyAlignment="1" applyProtection="1">
      <alignment horizontal="left" vertical="center" wrapText="1"/>
      <protection hidden="1"/>
    </xf>
    <xf numFmtId="167" fontId="5" fillId="2" borderId="23" xfId="1" applyNumberFormat="1" applyFont="1" applyFill="1" applyBorder="1" applyAlignment="1" applyProtection="1">
      <alignment horizontal="left" vertical="center" wrapText="1"/>
      <protection hidden="1"/>
    </xf>
    <xf numFmtId="167" fontId="8" fillId="3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3" borderId="26" xfId="1" applyNumberFormat="1" applyFont="1" applyFill="1" applyBorder="1" applyAlignment="1" applyProtection="1">
      <alignment horizontal="right" vertical="center"/>
      <protection hidden="1"/>
    </xf>
    <xf numFmtId="165" fontId="3" fillId="3" borderId="19" xfId="1" applyNumberFormat="1" applyFont="1" applyFill="1" applyBorder="1" applyAlignment="1" applyProtection="1">
      <alignment horizontal="right" vertical="center"/>
      <protection hidden="1"/>
    </xf>
    <xf numFmtId="167" fontId="8" fillId="0" borderId="8" xfId="3" applyNumberFormat="1" applyFont="1" applyFill="1" applyBorder="1" applyAlignment="1" applyProtection="1">
      <alignment horizontal="left" vertical="center" wrapText="1"/>
      <protection hidden="1"/>
    </xf>
    <xf numFmtId="167" fontId="3" fillId="0" borderId="4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23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38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38" xfId="1" applyNumberFormat="1" applyFont="1" applyFill="1" applyBorder="1" applyAlignment="1" applyProtection="1">
      <alignment horizontal="left" vertical="center" wrapText="1"/>
      <protection hidden="1"/>
    </xf>
    <xf numFmtId="167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7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7" fontId="5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166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167" fontId="3" fillId="3" borderId="4" xfId="1" applyNumberFormat="1" applyFont="1" applyFill="1" applyBorder="1" applyAlignment="1" applyProtection="1">
      <alignment horizontal="left" vertical="center" wrapText="1"/>
      <protection hidden="1"/>
    </xf>
    <xf numFmtId="167" fontId="3" fillId="3" borderId="23" xfId="1" applyNumberFormat="1" applyFont="1" applyFill="1" applyBorder="1" applyAlignment="1" applyProtection="1">
      <alignment horizontal="left" vertical="center" wrapText="1"/>
      <protection hidden="1"/>
    </xf>
    <xf numFmtId="167" fontId="2" fillId="2" borderId="4" xfId="1" applyNumberFormat="1" applyFont="1" applyFill="1" applyBorder="1" applyAlignment="1" applyProtection="1">
      <alignment horizontal="left" vertical="center" wrapText="1"/>
      <protection hidden="1"/>
    </xf>
    <xf numFmtId="167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7" fontId="3" fillId="3" borderId="27" xfId="1" applyNumberFormat="1" applyFont="1" applyFill="1" applyBorder="1" applyAlignment="1" applyProtection="1">
      <alignment horizontal="left" vertical="center" wrapText="1"/>
      <protection hidden="1"/>
    </xf>
    <xf numFmtId="167" fontId="8" fillId="3" borderId="28" xfId="1" applyNumberFormat="1" applyFont="1" applyFill="1" applyBorder="1" applyAlignment="1" applyProtection="1">
      <alignment horizontal="left" vertical="center" wrapText="1"/>
      <protection hidden="1"/>
    </xf>
    <xf numFmtId="167" fontId="8" fillId="3" borderId="29" xfId="1" applyNumberFormat="1" applyFont="1" applyFill="1" applyBorder="1" applyAlignment="1" applyProtection="1">
      <alignment horizontal="left" vertical="center" wrapText="1"/>
      <protection hidden="1"/>
    </xf>
    <xf numFmtId="167" fontId="8" fillId="3" borderId="5" xfId="1" applyNumberFormat="1" applyFont="1" applyFill="1" applyBorder="1" applyAlignment="1" applyProtection="1">
      <alignment horizontal="left" vertical="center" wrapText="1"/>
      <protection hidden="1"/>
    </xf>
    <xf numFmtId="167" fontId="8" fillId="3" borderId="30" xfId="1" applyNumberFormat="1" applyFont="1" applyFill="1" applyBorder="1" applyAlignment="1" applyProtection="1">
      <alignment horizontal="left" vertical="center" wrapText="1"/>
      <protection hidden="1"/>
    </xf>
    <xf numFmtId="167" fontId="8" fillId="3" borderId="31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5" fontId="3" fillId="3" borderId="32" xfId="1" applyNumberFormat="1" applyFont="1" applyFill="1" applyBorder="1" applyAlignment="1" applyProtection="1">
      <alignment horizontal="left" vertical="center" wrapText="1"/>
      <protection hidden="1"/>
    </xf>
    <xf numFmtId="165" fontId="3" fillId="3" borderId="33" xfId="1" applyNumberFormat="1" applyFont="1" applyFill="1" applyBorder="1" applyAlignment="1" applyProtection="1">
      <alignment horizontal="left" vertical="center" wrapText="1"/>
      <protection hidden="1"/>
    </xf>
    <xf numFmtId="0" fontId="9" fillId="2" borderId="22" xfId="1" applyNumberFormat="1" applyFont="1" applyFill="1" applyBorder="1" applyAlignment="1" applyProtection="1">
      <alignment horizontal="center" vertical="center"/>
      <protection hidden="1"/>
    </xf>
    <xf numFmtId="0" fontId="9" fillId="2" borderId="21" xfId="1" applyNumberFormat="1" applyFont="1" applyFill="1" applyBorder="1" applyAlignment="1" applyProtection="1">
      <alignment horizontal="center" vertical="center"/>
      <protection hidden="1"/>
    </xf>
    <xf numFmtId="0" fontId="9" fillId="2" borderId="35" xfId="1" applyNumberFormat="1" applyFont="1" applyFill="1" applyBorder="1" applyAlignment="1" applyProtection="1">
      <alignment horizontal="center" vertical="center"/>
      <protection hidden="1"/>
    </xf>
    <xf numFmtId="167" fontId="5" fillId="2" borderId="27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28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29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30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7" xfId="1" applyNumberFormat="1" applyFont="1" applyFill="1" applyBorder="1" applyAlignment="1" applyProtection="1">
      <alignment horizontal="left" vertical="center" wrapText="1"/>
      <protection hidden="1"/>
    </xf>
    <xf numFmtId="167" fontId="8" fillId="3" borderId="8" xfId="1" applyNumberFormat="1" applyFont="1" applyFill="1" applyBorder="1" applyAlignment="1" applyProtection="1">
      <alignment horizontal="left" vertical="center" wrapText="1"/>
      <protection hidden="1"/>
    </xf>
    <xf numFmtId="0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26" xfId="1" applyNumberFormat="1" applyFont="1" applyFill="1" applyBorder="1" applyAlignment="1" applyProtection="1">
      <alignment horizontal="center" vertical="top" wrapText="1"/>
      <protection hidden="1"/>
    </xf>
    <xf numFmtId="0" fontId="3" fillId="3" borderId="19" xfId="1" applyNumberFormat="1" applyFont="1" applyFill="1" applyBorder="1" applyAlignment="1" applyProtection="1">
      <alignment horizontal="center" vertical="top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5"/>
    <cellStyle name="Данные (только для чтения)" xfId="6"/>
    <cellStyle name="Денежный 2" xfId="40"/>
    <cellStyle name="Обычный" xfId="0" builtinId="0"/>
    <cellStyle name="Обычный 10" xfId="4"/>
    <cellStyle name="Обычный 11" xfId="7"/>
    <cellStyle name="Обычный 12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19" xfId="15"/>
    <cellStyle name="Обычный 2" xfId="1"/>
    <cellStyle name="Обычный 2 2" xfId="3"/>
    <cellStyle name="Обычный 2 2 2" xfId="1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27"/>
    <cellStyle name="Обычный 3 2" xfId="28"/>
    <cellStyle name="Обычный 3 3" xfId="41"/>
    <cellStyle name="Обычный 3 3 2" xfId="43"/>
    <cellStyle name="Обычный 3 3 3" xfId="44"/>
    <cellStyle name="Обычный 3 3 4" xfId="45"/>
    <cellStyle name="Обычный 30" xfId="29"/>
    <cellStyle name="Обычный 4" xfId="2"/>
    <cellStyle name="Обычный 4 2" xfId="31"/>
    <cellStyle name="Обычный 4 3" xfId="30"/>
    <cellStyle name="Обычный 5" xfId="32"/>
    <cellStyle name="Обычный 5 2" xfId="4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Процентный 3" xfId="39"/>
    <cellStyle name="Финансовый" xfId="46" builtinId="3"/>
    <cellStyle name="Финансовый 2" xfId="38"/>
  </cellStyles>
  <dxfs count="0"/>
  <tableStyles count="0" defaultTableStyle="TableStyleMedium2" defaultPivotStyle="PivotStyleLight16"/>
  <colors>
    <mruColors>
      <color rgb="FFFFCCFF"/>
      <color rgb="FFFF9999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8"/>
  <sheetViews>
    <sheetView showGridLines="0" tabSelected="1" topLeftCell="E1" zoomScaleNormal="100" zoomScaleSheetLayoutView="100" workbookViewId="0">
      <selection activeCell="J4" sqref="J4"/>
    </sheetView>
  </sheetViews>
  <sheetFormatPr defaultColWidth="9.140625" defaultRowHeight="12.75" outlineLevelRow="2" outlineLevelCol="1" x14ac:dyDescent="0.2"/>
  <cols>
    <col min="1" max="1" width="2.85546875" style="42" hidden="1" customWidth="1"/>
    <col min="2" max="2" width="1.5703125" style="42" hidden="1" customWidth="1"/>
    <col min="3" max="3" width="6.140625" style="42" hidden="1" customWidth="1"/>
    <col min="4" max="4" width="0.140625" style="42" customWidth="1"/>
    <col min="5" max="7" width="2.7109375" style="42" customWidth="1"/>
    <col min="8" max="8" width="50.85546875" style="42" customWidth="1"/>
    <col min="9" max="9" width="21.5703125" style="42" hidden="1" customWidth="1"/>
    <col min="10" max="10" width="6.140625" style="42" customWidth="1"/>
    <col min="11" max="12" width="4.85546875" style="42" customWidth="1"/>
    <col min="13" max="21" width="13.42578125" style="42" hidden="1" customWidth="1" outlineLevel="1"/>
    <col min="22" max="22" width="13.42578125" style="42" customWidth="1" collapsed="1"/>
    <col min="23" max="24" width="13.42578125" style="42" customWidth="1"/>
    <col min="25" max="25" width="98.5703125" style="42" customWidth="1"/>
    <col min="26" max="26" width="1" style="42" customWidth="1"/>
    <col min="27" max="27" width="15.140625" style="42" customWidth="1"/>
    <col min="28" max="28" width="13" style="42" customWidth="1"/>
    <col min="29" max="253" width="9.140625" style="42" customWidth="1"/>
    <col min="254" max="16384" width="9.140625" style="42"/>
  </cols>
  <sheetData>
    <row r="1" spans="1:27" ht="13.5" customHeight="1" x14ac:dyDescent="0.25">
      <c r="A1" s="39"/>
      <c r="B1" s="39"/>
      <c r="C1" s="39"/>
      <c r="D1" s="39"/>
      <c r="E1" s="39"/>
      <c r="F1" s="39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116" t="s">
        <v>428</v>
      </c>
      <c r="Z1" s="39"/>
    </row>
    <row r="2" spans="1:27" ht="13.5" customHeight="1" x14ac:dyDescent="0.25">
      <c r="A2" s="39"/>
      <c r="B2" s="39"/>
      <c r="C2" s="39"/>
      <c r="D2" s="39"/>
      <c r="E2" s="39"/>
      <c r="F2" s="39"/>
      <c r="G2" s="39"/>
      <c r="H2" s="3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1" t="s">
        <v>178</v>
      </c>
      <c r="Z2" s="39"/>
    </row>
    <row r="3" spans="1:27" ht="27.75" customHeight="1" x14ac:dyDescent="0.2">
      <c r="A3" s="39"/>
      <c r="B3" s="39"/>
      <c r="C3" s="4"/>
      <c r="D3" s="4" t="s">
        <v>370</v>
      </c>
      <c r="E3" s="4"/>
      <c r="F3" s="4"/>
      <c r="G3" s="4"/>
      <c r="H3" s="4"/>
      <c r="I3" s="4"/>
      <c r="J3" s="39"/>
      <c r="K3" s="3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9"/>
      <c r="Z3" s="39"/>
    </row>
    <row r="4" spans="1:27" ht="12.75" customHeight="1" thickBot="1" x14ac:dyDescent="0.25">
      <c r="A4" s="39"/>
      <c r="B4" s="39"/>
      <c r="C4" s="4"/>
      <c r="D4" s="4"/>
      <c r="E4" s="4"/>
      <c r="F4" s="4"/>
      <c r="G4" s="4"/>
      <c r="H4" s="4"/>
      <c r="I4" s="4"/>
      <c r="J4" s="39"/>
      <c r="K4" s="3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9"/>
      <c r="Z4" s="39"/>
    </row>
    <row r="5" spans="1:27" ht="37.5" customHeight="1" thickBot="1" x14ac:dyDescent="0.25">
      <c r="A5" s="43"/>
      <c r="B5" s="4"/>
      <c r="D5" s="181" t="s">
        <v>344</v>
      </c>
      <c r="E5" s="182"/>
      <c r="F5" s="182"/>
      <c r="G5" s="182"/>
      <c r="H5" s="123"/>
      <c r="I5" s="154" t="s">
        <v>174</v>
      </c>
      <c r="J5" s="195" t="s">
        <v>175</v>
      </c>
      <c r="K5" s="196"/>
      <c r="L5" s="197"/>
      <c r="M5" s="123" t="s">
        <v>352</v>
      </c>
      <c r="N5" s="117" t="s">
        <v>176</v>
      </c>
      <c r="O5" s="120" t="s">
        <v>298</v>
      </c>
      <c r="P5" s="123" t="s">
        <v>356</v>
      </c>
      <c r="Q5" s="117" t="s">
        <v>176</v>
      </c>
      <c r="R5" s="120" t="s">
        <v>298</v>
      </c>
      <c r="S5" s="123" t="s">
        <v>361</v>
      </c>
      <c r="T5" s="117" t="s">
        <v>176</v>
      </c>
      <c r="U5" s="120" t="s">
        <v>298</v>
      </c>
      <c r="V5" s="123" t="s">
        <v>380</v>
      </c>
      <c r="W5" s="117" t="s">
        <v>176</v>
      </c>
      <c r="X5" s="120" t="s">
        <v>298</v>
      </c>
      <c r="Y5" s="117" t="s">
        <v>177</v>
      </c>
      <c r="Z5" s="4"/>
    </row>
    <row r="6" spans="1:27" ht="11.25" customHeight="1" thickBot="1" x14ac:dyDescent="0.25">
      <c r="A6" s="44"/>
      <c r="B6" s="44"/>
      <c r="C6" s="37"/>
      <c r="D6" s="183"/>
      <c r="E6" s="184"/>
      <c r="F6" s="184"/>
      <c r="G6" s="184"/>
      <c r="H6" s="185"/>
      <c r="I6" s="154"/>
      <c r="J6" s="198"/>
      <c r="K6" s="199"/>
      <c r="L6" s="124"/>
      <c r="M6" s="124"/>
      <c r="N6" s="118"/>
      <c r="O6" s="121"/>
      <c r="P6" s="124"/>
      <c r="Q6" s="118"/>
      <c r="R6" s="121"/>
      <c r="S6" s="124"/>
      <c r="T6" s="118"/>
      <c r="U6" s="121"/>
      <c r="V6" s="124"/>
      <c r="W6" s="118"/>
      <c r="X6" s="121"/>
      <c r="Y6" s="118"/>
      <c r="Z6" s="4"/>
    </row>
    <row r="7" spans="1:27" ht="53.25" customHeight="1" thickBot="1" x14ac:dyDescent="0.25">
      <c r="A7" s="44"/>
      <c r="B7" s="44"/>
      <c r="C7" s="38"/>
      <c r="D7" s="186"/>
      <c r="E7" s="187"/>
      <c r="F7" s="187"/>
      <c r="G7" s="187"/>
      <c r="H7" s="188"/>
      <c r="I7" s="154"/>
      <c r="J7" s="200"/>
      <c r="K7" s="201"/>
      <c r="L7" s="125"/>
      <c r="M7" s="125"/>
      <c r="N7" s="119"/>
      <c r="O7" s="122"/>
      <c r="P7" s="125"/>
      <c r="Q7" s="119"/>
      <c r="R7" s="122"/>
      <c r="S7" s="125"/>
      <c r="T7" s="119"/>
      <c r="U7" s="122"/>
      <c r="V7" s="125"/>
      <c r="W7" s="119"/>
      <c r="X7" s="122"/>
      <c r="Y7" s="119"/>
      <c r="Z7" s="4"/>
    </row>
    <row r="8" spans="1:27" ht="12.75" hidden="1" customHeight="1" x14ac:dyDescent="0.2">
      <c r="A8" s="44"/>
      <c r="B8" s="44"/>
      <c r="C8" s="45" t="s">
        <v>23</v>
      </c>
      <c r="D8" s="99"/>
      <c r="E8" s="46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4"/>
    </row>
    <row r="9" spans="1:27" ht="32.25" customHeight="1" x14ac:dyDescent="0.2">
      <c r="A9" s="47"/>
      <c r="B9" s="48"/>
      <c r="C9" s="49"/>
      <c r="D9" s="151" t="s">
        <v>316</v>
      </c>
      <c r="E9" s="152"/>
      <c r="F9" s="152"/>
      <c r="G9" s="152"/>
      <c r="H9" s="153"/>
      <c r="I9" s="63" t="s">
        <v>173</v>
      </c>
      <c r="J9" s="64" t="s">
        <v>13</v>
      </c>
      <c r="K9" s="64" t="s">
        <v>4</v>
      </c>
      <c r="L9" s="64" t="s">
        <v>4</v>
      </c>
      <c r="M9" s="65">
        <f t="shared" ref="M9:U9" si="0">M10+M12+M14</f>
        <v>37944.199999999997</v>
      </c>
      <c r="N9" s="65">
        <f t="shared" si="0"/>
        <v>430.3</v>
      </c>
      <c r="O9" s="65">
        <f t="shared" si="0"/>
        <v>38374.5</v>
      </c>
      <c r="P9" s="66">
        <f t="shared" si="0"/>
        <v>38374.5</v>
      </c>
      <c r="Q9" s="66">
        <f t="shared" si="0"/>
        <v>236.30000000000007</v>
      </c>
      <c r="R9" s="66">
        <f t="shared" si="0"/>
        <v>38610.799999999996</v>
      </c>
      <c r="S9" s="66">
        <f t="shared" si="0"/>
        <v>38610.799999999996</v>
      </c>
      <c r="T9" s="66">
        <f t="shared" si="0"/>
        <v>1280.8000000000002</v>
      </c>
      <c r="U9" s="66">
        <f t="shared" si="0"/>
        <v>39891.599999999999</v>
      </c>
      <c r="V9" s="66">
        <v>39891.599999999999</v>
      </c>
      <c r="W9" s="66">
        <f>W10+W12+W14</f>
        <v>-409.3</v>
      </c>
      <c r="X9" s="66">
        <f>X10+X12+X14</f>
        <v>39482.299999999996</v>
      </c>
      <c r="Y9" s="67"/>
      <c r="Z9" s="4"/>
      <c r="AA9" s="50"/>
    </row>
    <row r="10" spans="1:27" ht="33.75" customHeight="1" x14ac:dyDescent="0.2">
      <c r="A10" s="51"/>
      <c r="B10" s="44"/>
      <c r="C10" s="52"/>
      <c r="D10" s="137" t="s">
        <v>343</v>
      </c>
      <c r="E10" s="138"/>
      <c r="F10" s="138"/>
      <c r="G10" s="138"/>
      <c r="H10" s="138"/>
      <c r="I10" s="84" t="s">
        <v>172</v>
      </c>
      <c r="J10" s="85" t="s">
        <v>13</v>
      </c>
      <c r="K10" s="85" t="s">
        <v>23</v>
      </c>
      <c r="L10" s="85" t="s">
        <v>4</v>
      </c>
      <c r="M10" s="86">
        <f>SUM(M11)</f>
        <v>1500</v>
      </c>
      <c r="N10" s="86">
        <f t="shared" ref="N10:X10" si="1">SUM(N11)</f>
        <v>0</v>
      </c>
      <c r="O10" s="86">
        <f t="shared" si="1"/>
        <v>1500</v>
      </c>
      <c r="P10" s="87">
        <f>SUM(P11)</f>
        <v>1500</v>
      </c>
      <c r="Q10" s="87">
        <f t="shared" si="1"/>
        <v>280.60000000000002</v>
      </c>
      <c r="R10" s="87">
        <f t="shared" si="1"/>
        <v>1780.6</v>
      </c>
      <c r="S10" s="87">
        <v>1780.6</v>
      </c>
      <c r="T10" s="87">
        <f t="shared" si="1"/>
        <v>-4.4000000000000004</v>
      </c>
      <c r="U10" s="87">
        <f t="shared" si="1"/>
        <v>1776.1999999999998</v>
      </c>
      <c r="V10" s="87">
        <v>1776.1999999999998</v>
      </c>
      <c r="W10" s="87">
        <f>SUM(W11)</f>
        <v>0</v>
      </c>
      <c r="X10" s="87">
        <f t="shared" si="1"/>
        <v>1776.1999999999998</v>
      </c>
      <c r="Y10" s="88"/>
      <c r="Z10" s="4"/>
      <c r="AA10" s="50"/>
    </row>
    <row r="11" spans="1:27" ht="32.25" hidden="1" customHeight="1" outlineLevel="1" x14ac:dyDescent="0.2">
      <c r="A11" s="51"/>
      <c r="B11" s="44"/>
      <c r="C11" s="52"/>
      <c r="D11" s="14"/>
      <c r="E11" s="139" t="s">
        <v>183</v>
      </c>
      <c r="F11" s="136"/>
      <c r="G11" s="136"/>
      <c r="H11" s="136"/>
      <c r="I11" s="15" t="s">
        <v>172</v>
      </c>
      <c r="J11" s="6" t="s">
        <v>13</v>
      </c>
      <c r="K11" s="6" t="s">
        <v>23</v>
      </c>
      <c r="L11" s="6" t="s">
        <v>13</v>
      </c>
      <c r="M11" s="19">
        <v>1500</v>
      </c>
      <c r="N11" s="19"/>
      <c r="O11" s="19">
        <f>SUM(M11:N11)</f>
        <v>1500</v>
      </c>
      <c r="P11" s="33">
        <v>1500</v>
      </c>
      <c r="Q11" s="33">
        <f>115.1+165.5</f>
        <v>280.60000000000002</v>
      </c>
      <c r="R11" s="33">
        <f>SUM(P11:Q11)</f>
        <v>1780.6</v>
      </c>
      <c r="S11" s="33">
        <v>1780.6</v>
      </c>
      <c r="T11" s="33">
        <v>-4.4000000000000004</v>
      </c>
      <c r="U11" s="33">
        <f>SUM(S11:T11)</f>
        <v>1776.1999999999998</v>
      </c>
      <c r="V11" s="33">
        <v>1776.1999999999998</v>
      </c>
      <c r="W11" s="33"/>
      <c r="X11" s="33">
        <f>SUM(V11:W11)</f>
        <v>1776.1999999999998</v>
      </c>
      <c r="Y11" s="9"/>
      <c r="Z11" s="4"/>
      <c r="AA11" s="50"/>
    </row>
    <row r="12" spans="1:27" ht="29.25" customHeight="1" collapsed="1" x14ac:dyDescent="0.2">
      <c r="A12" s="51"/>
      <c r="B12" s="44"/>
      <c r="C12" s="52"/>
      <c r="D12" s="137" t="s">
        <v>325</v>
      </c>
      <c r="E12" s="138"/>
      <c r="F12" s="138"/>
      <c r="G12" s="138"/>
      <c r="H12" s="138"/>
      <c r="I12" s="84" t="s">
        <v>171</v>
      </c>
      <c r="J12" s="85" t="s">
        <v>13</v>
      </c>
      <c r="K12" s="85" t="s">
        <v>18</v>
      </c>
      <c r="L12" s="85" t="s">
        <v>4</v>
      </c>
      <c r="M12" s="86">
        <f t="shared" ref="M12:X12" si="2">M13</f>
        <v>200</v>
      </c>
      <c r="N12" s="86">
        <f t="shared" si="2"/>
        <v>0</v>
      </c>
      <c r="O12" s="86">
        <f t="shared" si="2"/>
        <v>200</v>
      </c>
      <c r="P12" s="87">
        <f t="shared" si="2"/>
        <v>200</v>
      </c>
      <c r="Q12" s="87">
        <f t="shared" si="2"/>
        <v>347.8</v>
      </c>
      <c r="R12" s="87">
        <f t="shared" si="2"/>
        <v>547.79999999999995</v>
      </c>
      <c r="S12" s="87">
        <v>547.79999999999995</v>
      </c>
      <c r="T12" s="87">
        <f t="shared" si="2"/>
        <v>-15.2</v>
      </c>
      <c r="U12" s="87">
        <f t="shared" si="2"/>
        <v>532.59999999999991</v>
      </c>
      <c r="V12" s="87">
        <v>532.59999999999991</v>
      </c>
      <c r="W12" s="87">
        <f>W13</f>
        <v>0</v>
      </c>
      <c r="X12" s="87">
        <f t="shared" si="2"/>
        <v>532.59999999999991</v>
      </c>
      <c r="Y12" s="88"/>
      <c r="Z12" s="4"/>
      <c r="AA12" s="50"/>
    </row>
    <row r="13" spans="1:27" ht="38.25" hidden="1" customHeight="1" outlineLevel="1" x14ac:dyDescent="0.2">
      <c r="A13" s="51"/>
      <c r="B13" s="44"/>
      <c r="C13" s="52"/>
      <c r="D13" s="14"/>
      <c r="E13" s="136" t="s">
        <v>358</v>
      </c>
      <c r="F13" s="136"/>
      <c r="G13" s="136"/>
      <c r="H13" s="136"/>
      <c r="I13" s="15" t="s">
        <v>171</v>
      </c>
      <c r="J13" s="6" t="s">
        <v>13</v>
      </c>
      <c r="K13" s="6" t="s">
        <v>18</v>
      </c>
      <c r="L13" s="6" t="s">
        <v>13</v>
      </c>
      <c r="M13" s="19">
        <v>200</v>
      </c>
      <c r="N13" s="19"/>
      <c r="O13" s="19">
        <f>SUM(M13:N13)</f>
        <v>200</v>
      </c>
      <c r="P13" s="33">
        <v>200</v>
      </c>
      <c r="Q13" s="33">
        <f>-2.2+350</f>
        <v>347.8</v>
      </c>
      <c r="R13" s="33">
        <f>SUM(P13:Q13)</f>
        <v>547.79999999999995</v>
      </c>
      <c r="S13" s="33">
        <v>547.79999999999995</v>
      </c>
      <c r="T13" s="33">
        <v>-15.2</v>
      </c>
      <c r="U13" s="33">
        <f>SUM(S13:T13)</f>
        <v>532.59999999999991</v>
      </c>
      <c r="V13" s="33">
        <v>532.59999999999991</v>
      </c>
      <c r="W13" s="33"/>
      <c r="X13" s="33">
        <f>SUM(V13:W13)</f>
        <v>532.59999999999991</v>
      </c>
      <c r="Y13" s="9"/>
      <c r="Z13" s="4"/>
      <c r="AA13" s="50"/>
    </row>
    <row r="14" spans="1:27" ht="33.75" customHeight="1" collapsed="1" x14ac:dyDescent="0.2">
      <c r="A14" s="51"/>
      <c r="B14" s="44"/>
      <c r="C14" s="52"/>
      <c r="D14" s="143" t="s">
        <v>184</v>
      </c>
      <c r="E14" s="138"/>
      <c r="F14" s="138"/>
      <c r="G14" s="138"/>
      <c r="H14" s="138"/>
      <c r="I14" s="84" t="s">
        <v>170</v>
      </c>
      <c r="J14" s="85" t="s">
        <v>13</v>
      </c>
      <c r="K14" s="85" t="s">
        <v>27</v>
      </c>
      <c r="L14" s="85" t="s">
        <v>4</v>
      </c>
      <c r="M14" s="86">
        <f t="shared" ref="M14:U14" si="3">M15+M16</f>
        <v>36244.199999999997</v>
      </c>
      <c r="N14" s="86">
        <f t="shared" si="3"/>
        <v>430.3</v>
      </c>
      <c r="O14" s="86">
        <f t="shared" si="3"/>
        <v>36674.5</v>
      </c>
      <c r="P14" s="87">
        <f t="shared" si="3"/>
        <v>36674.5</v>
      </c>
      <c r="Q14" s="87">
        <f t="shared" si="3"/>
        <v>-392.1</v>
      </c>
      <c r="R14" s="87">
        <f t="shared" si="3"/>
        <v>36282.399999999994</v>
      </c>
      <c r="S14" s="87">
        <f t="shared" si="3"/>
        <v>36282.399999999994</v>
      </c>
      <c r="T14" s="87">
        <f t="shared" si="3"/>
        <v>1300.4000000000001</v>
      </c>
      <c r="U14" s="87">
        <f t="shared" si="3"/>
        <v>37582.799999999996</v>
      </c>
      <c r="V14" s="87">
        <v>37582.799999999996</v>
      </c>
      <c r="W14" s="87">
        <f>W15+W16</f>
        <v>-409.3</v>
      </c>
      <c r="X14" s="87">
        <f>X15+X16</f>
        <v>37173.499999999993</v>
      </c>
      <c r="Y14" s="88" t="s">
        <v>427</v>
      </c>
      <c r="Z14" s="4"/>
      <c r="AA14" s="50"/>
    </row>
    <row r="15" spans="1:27" ht="47.25" hidden="1" customHeight="1" outlineLevel="1" x14ac:dyDescent="0.2">
      <c r="A15" s="51"/>
      <c r="B15" s="44"/>
      <c r="C15" s="52"/>
      <c r="D15" s="14"/>
      <c r="E15" s="139" t="s">
        <v>185</v>
      </c>
      <c r="F15" s="136"/>
      <c r="G15" s="136"/>
      <c r="H15" s="136"/>
      <c r="I15" s="15" t="s">
        <v>169</v>
      </c>
      <c r="J15" s="6" t="s">
        <v>13</v>
      </c>
      <c r="K15" s="6" t="s">
        <v>27</v>
      </c>
      <c r="L15" s="6" t="s">
        <v>13</v>
      </c>
      <c r="M15" s="19">
        <v>36044.199999999997</v>
      </c>
      <c r="N15" s="19"/>
      <c r="O15" s="19">
        <f t="shared" ref="O15:O21" si="4">SUM(M15:N15)</f>
        <v>36044.199999999997</v>
      </c>
      <c r="P15" s="33">
        <f>36044.2-10</f>
        <v>36034.199999999997</v>
      </c>
      <c r="Q15" s="33">
        <v>-112.9</v>
      </c>
      <c r="R15" s="33">
        <f t="shared" ref="R15:R21" si="5">SUM(P15:Q15)</f>
        <v>35921.299999999996</v>
      </c>
      <c r="S15" s="33">
        <v>35921.299999999996</v>
      </c>
      <c r="T15" s="33">
        <f>1939.5-440.3</f>
        <v>1499.2</v>
      </c>
      <c r="U15" s="33">
        <f t="shared" ref="U15:U21" si="6">SUM(S15:T15)</f>
        <v>37420.499999999993</v>
      </c>
      <c r="V15" s="33">
        <v>37420.499999999993</v>
      </c>
      <c r="W15" s="33">
        <v>-409.3</v>
      </c>
      <c r="X15" s="33">
        <f t="shared" ref="X15:X21" si="7">SUM(V15:W15)</f>
        <v>37011.19999999999</v>
      </c>
      <c r="Y15" s="9" t="s">
        <v>399</v>
      </c>
      <c r="Z15" s="4"/>
      <c r="AA15" s="50"/>
    </row>
    <row r="16" spans="1:27" ht="40.5" hidden="1" customHeight="1" outlineLevel="1" x14ac:dyDescent="0.2">
      <c r="A16" s="51"/>
      <c r="B16" s="44"/>
      <c r="C16" s="52"/>
      <c r="D16" s="14"/>
      <c r="E16" s="139" t="s">
        <v>186</v>
      </c>
      <c r="F16" s="136"/>
      <c r="G16" s="136"/>
      <c r="H16" s="136"/>
      <c r="I16" s="15" t="s">
        <v>168</v>
      </c>
      <c r="J16" s="6" t="s">
        <v>13</v>
      </c>
      <c r="K16" s="6" t="s">
        <v>27</v>
      </c>
      <c r="L16" s="6" t="s">
        <v>11</v>
      </c>
      <c r="M16" s="19">
        <v>200</v>
      </c>
      <c r="N16" s="19">
        <v>430.3</v>
      </c>
      <c r="O16" s="19">
        <f t="shared" si="4"/>
        <v>630.29999999999995</v>
      </c>
      <c r="P16" s="33">
        <f>630.3+10</f>
        <v>640.29999999999995</v>
      </c>
      <c r="Q16" s="33">
        <v>-279.2</v>
      </c>
      <c r="R16" s="33">
        <f t="shared" si="5"/>
        <v>361.09999999999997</v>
      </c>
      <c r="S16" s="33">
        <v>361.09999999999997</v>
      </c>
      <c r="T16" s="33">
        <v>-198.8</v>
      </c>
      <c r="U16" s="33">
        <f t="shared" si="6"/>
        <v>162.29999999999995</v>
      </c>
      <c r="V16" s="33">
        <v>162.29999999999995</v>
      </c>
      <c r="W16" s="33"/>
      <c r="X16" s="33">
        <f t="shared" si="7"/>
        <v>162.29999999999995</v>
      </c>
      <c r="Y16" s="9"/>
      <c r="Z16" s="4"/>
      <c r="AA16" s="50"/>
    </row>
    <row r="17" spans="1:27" ht="43.5" customHeight="1" collapsed="1" x14ac:dyDescent="0.2">
      <c r="A17" s="51"/>
      <c r="B17" s="4"/>
      <c r="C17" s="53"/>
      <c r="D17" s="140" t="s">
        <v>317</v>
      </c>
      <c r="E17" s="141"/>
      <c r="F17" s="141"/>
      <c r="G17" s="141"/>
      <c r="H17" s="142"/>
      <c r="I17" s="68" t="s">
        <v>167</v>
      </c>
      <c r="J17" s="69" t="s">
        <v>11</v>
      </c>
      <c r="K17" s="69" t="s">
        <v>4</v>
      </c>
      <c r="L17" s="69" t="s">
        <v>4</v>
      </c>
      <c r="M17" s="70">
        <f>M18+M19+M20+M21</f>
        <v>2430.1999999999998</v>
      </c>
      <c r="N17" s="71">
        <f>SUM(N18+N19+N20+N21)</f>
        <v>0</v>
      </c>
      <c r="O17" s="70">
        <f t="shared" si="4"/>
        <v>2430.1999999999998</v>
      </c>
      <c r="P17" s="72">
        <f>P18+P19+P20+P21</f>
        <v>2430.1999999999998</v>
      </c>
      <c r="Q17" s="73">
        <f>SUM(Q18+Q19+Q20+Q21)</f>
        <v>0</v>
      </c>
      <c r="R17" s="72">
        <f t="shared" si="5"/>
        <v>2430.1999999999998</v>
      </c>
      <c r="S17" s="72">
        <f>S18+S19+S20+S21</f>
        <v>2430.1999999999998</v>
      </c>
      <c r="T17" s="73">
        <f>SUM(T18+T19+T20+T21)</f>
        <v>-12.3</v>
      </c>
      <c r="U17" s="72">
        <f t="shared" si="6"/>
        <v>2417.8999999999996</v>
      </c>
      <c r="V17" s="72">
        <v>2417.8999999999996</v>
      </c>
      <c r="W17" s="73">
        <f>SUM(W18+W19+W20+W21)</f>
        <v>0</v>
      </c>
      <c r="X17" s="72">
        <f t="shared" si="7"/>
        <v>2417.8999999999996</v>
      </c>
      <c r="Y17" s="74"/>
      <c r="Z17" s="4"/>
      <c r="AA17" s="50"/>
    </row>
    <row r="18" spans="1:27" ht="39.75" hidden="1" customHeight="1" outlineLevel="1" x14ac:dyDescent="0.2">
      <c r="A18" s="51"/>
      <c r="B18" s="44"/>
      <c r="C18" s="52"/>
      <c r="D18" s="14"/>
      <c r="E18" s="136" t="s">
        <v>326</v>
      </c>
      <c r="F18" s="136"/>
      <c r="G18" s="136"/>
      <c r="H18" s="136"/>
      <c r="I18" s="15" t="s">
        <v>166</v>
      </c>
      <c r="J18" s="6" t="s">
        <v>11</v>
      </c>
      <c r="K18" s="6" t="s">
        <v>2</v>
      </c>
      <c r="L18" s="6" t="s">
        <v>13</v>
      </c>
      <c r="M18" s="19">
        <v>1920.2</v>
      </c>
      <c r="N18" s="19"/>
      <c r="O18" s="19">
        <f t="shared" si="4"/>
        <v>1920.2</v>
      </c>
      <c r="P18" s="33">
        <v>1920.2</v>
      </c>
      <c r="Q18" s="33"/>
      <c r="R18" s="33">
        <f t="shared" si="5"/>
        <v>1920.2</v>
      </c>
      <c r="S18" s="33">
        <v>1920.2</v>
      </c>
      <c r="T18" s="33"/>
      <c r="U18" s="33">
        <f t="shared" si="6"/>
        <v>1920.2</v>
      </c>
      <c r="V18" s="33">
        <v>1920.2</v>
      </c>
      <c r="W18" s="33"/>
      <c r="X18" s="33">
        <f t="shared" si="7"/>
        <v>1920.2</v>
      </c>
      <c r="Y18" s="9"/>
      <c r="Z18" s="4"/>
      <c r="AA18" s="50"/>
    </row>
    <row r="19" spans="1:27" ht="32.25" hidden="1" customHeight="1" outlineLevel="1" x14ac:dyDescent="0.2">
      <c r="A19" s="51"/>
      <c r="B19" s="44"/>
      <c r="C19" s="52"/>
      <c r="D19" s="14"/>
      <c r="E19" s="139" t="s">
        <v>187</v>
      </c>
      <c r="F19" s="136"/>
      <c r="G19" s="136"/>
      <c r="H19" s="136"/>
      <c r="I19" s="15" t="s">
        <v>165</v>
      </c>
      <c r="J19" s="6" t="s">
        <v>11</v>
      </c>
      <c r="K19" s="6" t="s">
        <v>2</v>
      </c>
      <c r="L19" s="6" t="s">
        <v>11</v>
      </c>
      <c r="M19" s="19">
        <v>0</v>
      </c>
      <c r="N19" s="19"/>
      <c r="O19" s="19">
        <f t="shared" si="4"/>
        <v>0</v>
      </c>
      <c r="P19" s="33">
        <v>0</v>
      </c>
      <c r="Q19" s="33"/>
      <c r="R19" s="33">
        <f t="shared" si="5"/>
        <v>0</v>
      </c>
      <c r="S19" s="33">
        <v>0</v>
      </c>
      <c r="T19" s="33"/>
      <c r="U19" s="33">
        <f t="shared" si="6"/>
        <v>0</v>
      </c>
      <c r="V19" s="33">
        <v>0</v>
      </c>
      <c r="W19" s="33"/>
      <c r="X19" s="33">
        <f t="shared" si="7"/>
        <v>0</v>
      </c>
      <c r="Y19" s="9"/>
      <c r="Z19" s="4"/>
      <c r="AA19" s="50"/>
    </row>
    <row r="20" spans="1:27" ht="39" hidden="1" customHeight="1" outlineLevel="1" x14ac:dyDescent="0.2">
      <c r="A20" s="51"/>
      <c r="B20" s="44"/>
      <c r="C20" s="52"/>
      <c r="D20" s="14"/>
      <c r="E20" s="139" t="s">
        <v>188</v>
      </c>
      <c r="F20" s="136"/>
      <c r="G20" s="136"/>
      <c r="H20" s="136"/>
      <c r="I20" s="15" t="s">
        <v>164</v>
      </c>
      <c r="J20" s="6" t="s">
        <v>11</v>
      </c>
      <c r="K20" s="6" t="s">
        <v>2</v>
      </c>
      <c r="L20" s="6" t="s">
        <v>26</v>
      </c>
      <c r="M20" s="19">
        <v>500</v>
      </c>
      <c r="N20" s="19"/>
      <c r="O20" s="19">
        <f t="shared" si="4"/>
        <v>500</v>
      </c>
      <c r="P20" s="33">
        <v>500</v>
      </c>
      <c r="Q20" s="33"/>
      <c r="R20" s="33">
        <f t="shared" si="5"/>
        <v>500</v>
      </c>
      <c r="S20" s="33">
        <v>500</v>
      </c>
      <c r="T20" s="33">
        <v>-12.3</v>
      </c>
      <c r="U20" s="33">
        <f t="shared" si="6"/>
        <v>487.7</v>
      </c>
      <c r="V20" s="33">
        <v>487.7</v>
      </c>
      <c r="W20" s="33"/>
      <c r="X20" s="33">
        <f>SUM(V20:W20)</f>
        <v>487.7</v>
      </c>
      <c r="Y20" s="9"/>
      <c r="Z20" s="4"/>
      <c r="AA20" s="50"/>
    </row>
    <row r="21" spans="1:27" ht="33.75" hidden="1" customHeight="1" outlineLevel="1" x14ac:dyDescent="0.2">
      <c r="A21" s="51"/>
      <c r="B21" s="44"/>
      <c r="C21" s="52"/>
      <c r="D21" s="14"/>
      <c r="E21" s="136" t="s">
        <v>327</v>
      </c>
      <c r="F21" s="136"/>
      <c r="G21" s="136"/>
      <c r="H21" s="136"/>
      <c r="I21" s="15" t="s">
        <v>163</v>
      </c>
      <c r="J21" s="6" t="s">
        <v>11</v>
      </c>
      <c r="K21" s="6" t="s">
        <v>2</v>
      </c>
      <c r="L21" s="6" t="s">
        <v>10</v>
      </c>
      <c r="M21" s="19">
        <v>10</v>
      </c>
      <c r="N21" s="19"/>
      <c r="O21" s="19">
        <f t="shared" si="4"/>
        <v>10</v>
      </c>
      <c r="P21" s="33">
        <v>10</v>
      </c>
      <c r="Q21" s="33"/>
      <c r="R21" s="33">
        <f t="shared" si="5"/>
        <v>10</v>
      </c>
      <c r="S21" s="33">
        <v>10</v>
      </c>
      <c r="T21" s="33"/>
      <c r="U21" s="33">
        <f t="shared" si="6"/>
        <v>10</v>
      </c>
      <c r="V21" s="33">
        <v>10</v>
      </c>
      <c r="W21" s="33"/>
      <c r="X21" s="33">
        <f t="shared" si="7"/>
        <v>10</v>
      </c>
      <c r="Y21" s="9"/>
      <c r="Z21" s="4"/>
      <c r="AA21" s="50"/>
    </row>
    <row r="22" spans="1:27" ht="30.75" customHeight="1" collapsed="1" x14ac:dyDescent="0.2">
      <c r="A22" s="51"/>
      <c r="B22" s="4"/>
      <c r="C22" s="53"/>
      <c r="D22" s="140" t="s">
        <v>318</v>
      </c>
      <c r="E22" s="141"/>
      <c r="F22" s="141"/>
      <c r="G22" s="141"/>
      <c r="H22" s="142"/>
      <c r="I22" s="68" t="s">
        <v>162</v>
      </c>
      <c r="J22" s="69" t="s">
        <v>26</v>
      </c>
      <c r="K22" s="69" t="s">
        <v>4</v>
      </c>
      <c r="L22" s="69" t="s">
        <v>4</v>
      </c>
      <c r="M22" s="71">
        <f>M23+M24+M25</f>
        <v>3303.8</v>
      </c>
      <c r="N22" s="71">
        <f>SUM(N23+N24+N25)</f>
        <v>-208.7</v>
      </c>
      <c r="O22" s="70">
        <f t="shared" ref="O22:O29" si="8">SUM(M22:N22)</f>
        <v>3095.1000000000004</v>
      </c>
      <c r="P22" s="73">
        <f>P23+P24+P25</f>
        <v>3095.1</v>
      </c>
      <c r="Q22" s="73">
        <f>SUM(Q23+Q24+Q25)</f>
        <v>0</v>
      </c>
      <c r="R22" s="72">
        <f t="shared" ref="R22:R27" si="9">SUM(P22:Q22)</f>
        <v>3095.1</v>
      </c>
      <c r="S22" s="73">
        <f t="shared" ref="S22:X22" si="10">S23+S24+S25+S26</f>
        <v>3095.2</v>
      </c>
      <c r="T22" s="73">
        <f t="shared" si="10"/>
        <v>0</v>
      </c>
      <c r="U22" s="73">
        <f t="shared" si="10"/>
        <v>3095.2</v>
      </c>
      <c r="V22" s="73">
        <f t="shared" si="10"/>
        <v>3095.2</v>
      </c>
      <c r="W22" s="73">
        <f t="shared" si="10"/>
        <v>0</v>
      </c>
      <c r="X22" s="73">
        <f t="shared" si="10"/>
        <v>3095.2</v>
      </c>
      <c r="Y22" s="74"/>
      <c r="Z22" s="4"/>
      <c r="AA22" s="50"/>
    </row>
    <row r="23" spans="1:27" ht="33" customHeight="1" x14ac:dyDescent="0.2">
      <c r="A23" s="51"/>
      <c r="B23" s="44"/>
      <c r="C23" s="52"/>
      <c r="D23" s="14"/>
      <c r="E23" s="138" t="s">
        <v>379</v>
      </c>
      <c r="F23" s="138"/>
      <c r="G23" s="138"/>
      <c r="H23" s="138"/>
      <c r="I23" s="84" t="s">
        <v>161</v>
      </c>
      <c r="J23" s="85" t="s">
        <v>26</v>
      </c>
      <c r="K23" s="85" t="s">
        <v>2</v>
      </c>
      <c r="L23" s="85" t="s">
        <v>160</v>
      </c>
      <c r="M23" s="86">
        <v>3303.8</v>
      </c>
      <c r="N23" s="86">
        <v>-208.7</v>
      </c>
      <c r="O23" s="86">
        <f t="shared" si="8"/>
        <v>3095.1000000000004</v>
      </c>
      <c r="P23" s="87">
        <v>3095.1</v>
      </c>
      <c r="Q23" s="87"/>
      <c r="R23" s="87">
        <f t="shared" si="9"/>
        <v>3095.1</v>
      </c>
      <c r="S23" s="87">
        <v>3095.2</v>
      </c>
      <c r="T23" s="87">
        <f>-2370.4-124.7</f>
        <v>-2495.1</v>
      </c>
      <c r="U23" s="87">
        <f t="shared" ref="U23:V26" si="11">SUM(S23:T23)</f>
        <v>600.09999999999991</v>
      </c>
      <c r="V23" s="87">
        <v>600.09999999999991</v>
      </c>
      <c r="W23" s="87"/>
      <c r="X23" s="87">
        <f>SUM(V23:W23)</f>
        <v>600.09999999999991</v>
      </c>
      <c r="Y23" s="88"/>
      <c r="Z23" s="4"/>
      <c r="AA23" s="50"/>
    </row>
    <row r="24" spans="1:27" ht="23.25" customHeight="1" x14ac:dyDescent="0.2">
      <c r="A24" s="51"/>
      <c r="B24" s="44"/>
      <c r="C24" s="52"/>
      <c r="D24" s="14"/>
      <c r="E24" s="190" t="s">
        <v>189</v>
      </c>
      <c r="F24" s="138"/>
      <c r="G24" s="138"/>
      <c r="H24" s="138"/>
      <c r="I24" s="84" t="s">
        <v>159</v>
      </c>
      <c r="J24" s="85" t="s">
        <v>26</v>
      </c>
      <c r="K24" s="85" t="s">
        <v>2</v>
      </c>
      <c r="L24" s="85" t="s">
        <v>158</v>
      </c>
      <c r="M24" s="86">
        <v>0</v>
      </c>
      <c r="N24" s="86"/>
      <c r="O24" s="86">
        <f t="shared" si="8"/>
        <v>0</v>
      </c>
      <c r="P24" s="87">
        <v>0</v>
      </c>
      <c r="Q24" s="87"/>
      <c r="R24" s="87">
        <f t="shared" si="9"/>
        <v>0</v>
      </c>
      <c r="S24" s="87">
        <v>0</v>
      </c>
      <c r="T24" s="87"/>
      <c r="U24" s="87">
        <f t="shared" si="11"/>
        <v>0</v>
      </c>
      <c r="V24" s="87">
        <f t="shared" si="11"/>
        <v>0</v>
      </c>
      <c r="W24" s="87"/>
      <c r="X24" s="87">
        <f>SUM(V24:W24)</f>
        <v>0</v>
      </c>
      <c r="Y24" s="88"/>
      <c r="Z24" s="4"/>
      <c r="AA24" s="50"/>
    </row>
    <row r="25" spans="1:27" ht="52.5" customHeight="1" x14ac:dyDescent="0.2">
      <c r="A25" s="51"/>
      <c r="B25" s="4"/>
      <c r="C25" s="54"/>
      <c r="D25" s="14"/>
      <c r="E25" s="157" t="s">
        <v>301</v>
      </c>
      <c r="F25" s="157"/>
      <c r="G25" s="157"/>
      <c r="H25" s="158"/>
      <c r="I25" s="84"/>
      <c r="J25" s="89" t="s">
        <v>26</v>
      </c>
      <c r="K25" s="89">
        <v>0</v>
      </c>
      <c r="L25" s="89" t="s">
        <v>7</v>
      </c>
      <c r="M25" s="86">
        <v>0</v>
      </c>
      <c r="N25" s="86"/>
      <c r="O25" s="86">
        <f t="shared" si="8"/>
        <v>0</v>
      </c>
      <c r="P25" s="87">
        <v>0</v>
      </c>
      <c r="Q25" s="87"/>
      <c r="R25" s="87">
        <f t="shared" si="9"/>
        <v>0</v>
      </c>
      <c r="S25" s="87">
        <v>0</v>
      </c>
      <c r="T25" s="87"/>
      <c r="U25" s="87">
        <f t="shared" si="11"/>
        <v>0</v>
      </c>
      <c r="V25" s="87">
        <f t="shared" si="11"/>
        <v>0</v>
      </c>
      <c r="W25" s="87"/>
      <c r="X25" s="87">
        <f>SUM(V25:W25)</f>
        <v>0</v>
      </c>
      <c r="Y25" s="88"/>
      <c r="Z25" s="4"/>
      <c r="AA25" s="50"/>
    </row>
    <row r="26" spans="1:27" ht="26.25" customHeight="1" x14ac:dyDescent="0.2">
      <c r="A26" s="51"/>
      <c r="B26" s="4"/>
      <c r="C26" s="54"/>
      <c r="D26" s="14"/>
      <c r="E26" s="157" t="s">
        <v>368</v>
      </c>
      <c r="F26" s="157"/>
      <c r="G26" s="157"/>
      <c r="H26" s="158"/>
      <c r="I26" s="84"/>
      <c r="J26" s="89" t="s">
        <v>26</v>
      </c>
      <c r="K26" s="89" t="s">
        <v>2</v>
      </c>
      <c r="L26" s="89" t="s">
        <v>369</v>
      </c>
      <c r="M26" s="86"/>
      <c r="N26" s="86"/>
      <c r="O26" s="86"/>
      <c r="P26" s="87"/>
      <c r="Q26" s="87"/>
      <c r="R26" s="87"/>
      <c r="S26" s="87">
        <v>0</v>
      </c>
      <c r="T26" s="87">
        <f>2370.4+124.7</f>
        <v>2495.1</v>
      </c>
      <c r="U26" s="87">
        <f t="shared" si="11"/>
        <v>2495.1</v>
      </c>
      <c r="V26" s="87">
        <v>2495.1</v>
      </c>
      <c r="W26" s="87"/>
      <c r="X26" s="87">
        <f>SUM(V26:W26)</f>
        <v>2495.1</v>
      </c>
      <c r="Y26" s="88"/>
      <c r="Z26" s="4"/>
      <c r="AA26" s="50"/>
    </row>
    <row r="27" spans="1:27" ht="28.5" customHeight="1" x14ac:dyDescent="0.2">
      <c r="A27" s="51"/>
      <c r="B27" s="4"/>
      <c r="C27" s="53"/>
      <c r="D27" s="140" t="s">
        <v>305</v>
      </c>
      <c r="E27" s="141"/>
      <c r="F27" s="141"/>
      <c r="G27" s="141"/>
      <c r="H27" s="142"/>
      <c r="I27" s="68" t="s">
        <v>157</v>
      </c>
      <c r="J27" s="69" t="s">
        <v>10</v>
      </c>
      <c r="K27" s="69" t="s">
        <v>4</v>
      </c>
      <c r="L27" s="69" t="s">
        <v>4</v>
      </c>
      <c r="M27" s="71">
        <f>M28+M30+M33</f>
        <v>2240</v>
      </c>
      <c r="N27" s="71">
        <f>N28+N30+N33</f>
        <v>3300</v>
      </c>
      <c r="O27" s="70">
        <f t="shared" si="8"/>
        <v>5540</v>
      </c>
      <c r="P27" s="73">
        <f>P28+P30+P33</f>
        <v>5540</v>
      </c>
      <c r="Q27" s="73">
        <f>Q28+Q30+Q33</f>
        <v>0</v>
      </c>
      <c r="R27" s="72">
        <f t="shared" si="9"/>
        <v>5540</v>
      </c>
      <c r="S27" s="73">
        <f>S28+S30+S33</f>
        <v>5540</v>
      </c>
      <c r="T27" s="73">
        <f>T28+T30+T33</f>
        <v>140.5</v>
      </c>
      <c r="U27" s="72">
        <f>SUM(S27:T27)</f>
        <v>5680.5</v>
      </c>
      <c r="V27" s="73">
        <f>V28+V30+V33</f>
        <v>5680.5</v>
      </c>
      <c r="W27" s="73">
        <f>W28+W30+W33</f>
        <v>0</v>
      </c>
      <c r="X27" s="72">
        <f>SUM(V27:W27)</f>
        <v>5680.5</v>
      </c>
      <c r="Y27" s="75"/>
      <c r="Z27" s="4"/>
      <c r="AA27" s="50"/>
    </row>
    <row r="28" spans="1:27" ht="32.25" customHeight="1" x14ac:dyDescent="0.2">
      <c r="A28" s="51"/>
      <c r="B28" s="44"/>
      <c r="C28" s="52"/>
      <c r="D28" s="143" t="s">
        <v>190</v>
      </c>
      <c r="E28" s="138"/>
      <c r="F28" s="138"/>
      <c r="G28" s="138"/>
      <c r="H28" s="138"/>
      <c r="I28" s="84" t="s">
        <v>156</v>
      </c>
      <c r="J28" s="85" t="s">
        <v>10</v>
      </c>
      <c r="K28" s="85" t="s">
        <v>23</v>
      </c>
      <c r="L28" s="85" t="s">
        <v>4</v>
      </c>
      <c r="M28" s="86">
        <f>M29</f>
        <v>1500</v>
      </c>
      <c r="N28" s="86">
        <f t="shared" ref="N28:X28" si="12">N29</f>
        <v>3300</v>
      </c>
      <c r="O28" s="86">
        <f t="shared" si="12"/>
        <v>4800</v>
      </c>
      <c r="P28" s="87">
        <f>P29</f>
        <v>4800</v>
      </c>
      <c r="Q28" s="87">
        <f t="shared" si="12"/>
        <v>0</v>
      </c>
      <c r="R28" s="87">
        <f t="shared" si="12"/>
        <v>4800</v>
      </c>
      <c r="S28" s="87">
        <f>S29</f>
        <v>4800</v>
      </c>
      <c r="T28" s="87">
        <f t="shared" si="12"/>
        <v>140.5</v>
      </c>
      <c r="U28" s="87">
        <f t="shared" si="12"/>
        <v>4940.5</v>
      </c>
      <c r="V28" s="87">
        <f>SUM(S28:T28)</f>
        <v>4940.5</v>
      </c>
      <c r="W28" s="87">
        <f>W29</f>
        <v>0</v>
      </c>
      <c r="X28" s="87">
        <f t="shared" si="12"/>
        <v>4940.5</v>
      </c>
      <c r="Y28" s="88"/>
      <c r="Z28" s="4"/>
      <c r="AA28" s="50"/>
    </row>
    <row r="29" spans="1:27" ht="39" hidden="1" customHeight="1" outlineLevel="1" x14ac:dyDescent="0.2">
      <c r="A29" s="51"/>
      <c r="B29" s="44"/>
      <c r="C29" s="52"/>
      <c r="D29" s="14"/>
      <c r="E29" s="139" t="s">
        <v>295</v>
      </c>
      <c r="F29" s="136"/>
      <c r="G29" s="136"/>
      <c r="H29" s="136"/>
      <c r="I29" s="15" t="s">
        <v>156</v>
      </c>
      <c r="J29" s="6" t="s">
        <v>10</v>
      </c>
      <c r="K29" s="6" t="s">
        <v>23</v>
      </c>
      <c r="L29" s="6" t="s">
        <v>13</v>
      </c>
      <c r="M29" s="19">
        <v>1500</v>
      </c>
      <c r="N29" s="19">
        <f>3300</f>
        <v>3300</v>
      </c>
      <c r="O29" s="19">
        <f t="shared" si="8"/>
        <v>4800</v>
      </c>
      <c r="P29" s="33">
        <v>4800</v>
      </c>
      <c r="Q29" s="33"/>
      <c r="R29" s="33">
        <f>SUM(P29:Q29)</f>
        <v>4800</v>
      </c>
      <c r="S29" s="33">
        <v>4800</v>
      </c>
      <c r="T29" s="33">
        <f>238-57.5-40</f>
        <v>140.5</v>
      </c>
      <c r="U29" s="33">
        <f>SUM(S29:T29)</f>
        <v>4940.5</v>
      </c>
      <c r="V29" s="33">
        <f>SUM(S29:T29)</f>
        <v>4940.5</v>
      </c>
      <c r="W29" s="33"/>
      <c r="X29" s="33">
        <f>SUM(V29:W29)</f>
        <v>4940.5</v>
      </c>
      <c r="Y29" s="9"/>
      <c r="Z29" s="4"/>
      <c r="AA29" s="50"/>
    </row>
    <row r="30" spans="1:27" ht="24" customHeight="1" collapsed="1" x14ac:dyDescent="0.2">
      <c r="A30" s="51"/>
      <c r="B30" s="44"/>
      <c r="C30" s="52"/>
      <c r="D30" s="143" t="s">
        <v>193</v>
      </c>
      <c r="E30" s="138"/>
      <c r="F30" s="138"/>
      <c r="G30" s="138"/>
      <c r="H30" s="138"/>
      <c r="I30" s="84" t="s">
        <v>155</v>
      </c>
      <c r="J30" s="85" t="s">
        <v>10</v>
      </c>
      <c r="K30" s="85" t="s">
        <v>18</v>
      </c>
      <c r="L30" s="85" t="s">
        <v>4</v>
      </c>
      <c r="M30" s="86">
        <f>M31+M32</f>
        <v>20</v>
      </c>
      <c r="N30" s="86">
        <f>N31+N32</f>
        <v>0</v>
      </c>
      <c r="O30" s="86">
        <f>SUM(M30:N30)</f>
        <v>20</v>
      </c>
      <c r="P30" s="87">
        <f>P31+P32</f>
        <v>20</v>
      </c>
      <c r="Q30" s="87">
        <f>Q31+Q32</f>
        <v>0</v>
      </c>
      <c r="R30" s="87">
        <f>SUM(P30:Q30)</f>
        <v>20</v>
      </c>
      <c r="S30" s="87">
        <f>S31+S32</f>
        <v>20</v>
      </c>
      <c r="T30" s="87">
        <f>T31+T32</f>
        <v>0</v>
      </c>
      <c r="U30" s="87">
        <f>SUM(S30:T30)</f>
        <v>20</v>
      </c>
      <c r="V30" s="87">
        <f>SUM(S30:T30)</f>
        <v>20</v>
      </c>
      <c r="W30" s="87">
        <f>W31+W32</f>
        <v>0</v>
      </c>
      <c r="X30" s="87">
        <f>SUM(V30:W30)</f>
        <v>20</v>
      </c>
      <c r="Y30" s="88"/>
      <c r="Z30" s="4"/>
      <c r="AA30" s="50"/>
    </row>
    <row r="31" spans="1:27" ht="24.75" hidden="1" customHeight="1" outlineLevel="1" x14ac:dyDescent="0.2">
      <c r="A31" s="51"/>
      <c r="B31" s="44"/>
      <c r="C31" s="52"/>
      <c r="D31" s="14"/>
      <c r="E31" s="139" t="s">
        <v>191</v>
      </c>
      <c r="F31" s="136"/>
      <c r="G31" s="136"/>
      <c r="H31" s="136"/>
      <c r="I31" s="15" t="s">
        <v>154</v>
      </c>
      <c r="J31" s="6" t="s">
        <v>10</v>
      </c>
      <c r="K31" s="6" t="s">
        <v>18</v>
      </c>
      <c r="L31" s="6" t="s">
        <v>11</v>
      </c>
      <c r="M31" s="19">
        <v>10</v>
      </c>
      <c r="N31" s="19"/>
      <c r="O31" s="19">
        <f>SUM(M31:N31)</f>
        <v>10</v>
      </c>
      <c r="P31" s="33">
        <v>10</v>
      </c>
      <c r="Q31" s="33"/>
      <c r="R31" s="33">
        <f>SUM(P31:Q31)</f>
        <v>10</v>
      </c>
      <c r="S31" s="33">
        <v>10</v>
      </c>
      <c r="T31" s="33"/>
      <c r="U31" s="33">
        <f>SUM(S31:T31)</f>
        <v>10</v>
      </c>
      <c r="V31" s="33">
        <f>SUM(S31:T31)</f>
        <v>10</v>
      </c>
      <c r="W31" s="33"/>
      <c r="X31" s="33">
        <f>SUM(V31:W31)</f>
        <v>10</v>
      </c>
      <c r="Y31" s="9"/>
      <c r="Z31" s="4"/>
      <c r="AA31" s="50"/>
    </row>
    <row r="32" spans="1:27" ht="42.75" hidden="1" customHeight="1" outlineLevel="1" x14ac:dyDescent="0.2">
      <c r="A32" s="51"/>
      <c r="B32" s="44"/>
      <c r="C32" s="52"/>
      <c r="D32" s="14"/>
      <c r="E32" s="139" t="s">
        <v>192</v>
      </c>
      <c r="F32" s="136"/>
      <c r="G32" s="136"/>
      <c r="H32" s="136"/>
      <c r="I32" s="15" t="s">
        <v>153</v>
      </c>
      <c r="J32" s="6" t="s">
        <v>10</v>
      </c>
      <c r="K32" s="6" t="s">
        <v>18</v>
      </c>
      <c r="L32" s="6" t="s">
        <v>26</v>
      </c>
      <c r="M32" s="19">
        <v>10</v>
      </c>
      <c r="N32" s="19"/>
      <c r="O32" s="19">
        <f>SUM(M32:N32)</f>
        <v>10</v>
      </c>
      <c r="P32" s="33">
        <v>10</v>
      </c>
      <c r="Q32" s="33"/>
      <c r="R32" s="33">
        <f>SUM(P32:Q32)</f>
        <v>10</v>
      </c>
      <c r="S32" s="33">
        <v>10</v>
      </c>
      <c r="T32" s="33"/>
      <c r="U32" s="33">
        <f>SUM(S32:T32)</f>
        <v>10</v>
      </c>
      <c r="V32" s="33">
        <f>SUM(S32:T32)</f>
        <v>10</v>
      </c>
      <c r="W32" s="33"/>
      <c r="X32" s="33">
        <f>SUM(V32:W32)</f>
        <v>10</v>
      </c>
      <c r="Y32" s="9"/>
      <c r="Z32" s="4"/>
      <c r="AA32" s="50"/>
    </row>
    <row r="33" spans="1:27" ht="37.5" customHeight="1" collapsed="1" x14ac:dyDescent="0.2">
      <c r="A33" s="51"/>
      <c r="B33" s="44"/>
      <c r="C33" s="52"/>
      <c r="D33" s="143" t="s">
        <v>194</v>
      </c>
      <c r="E33" s="138"/>
      <c r="F33" s="138"/>
      <c r="G33" s="138"/>
      <c r="H33" s="138"/>
      <c r="I33" s="84" t="s">
        <v>152</v>
      </c>
      <c r="J33" s="85" t="s">
        <v>10</v>
      </c>
      <c r="K33" s="85" t="s">
        <v>27</v>
      </c>
      <c r="L33" s="85" t="s">
        <v>4</v>
      </c>
      <c r="M33" s="86">
        <f>M34</f>
        <v>720</v>
      </c>
      <c r="N33" s="86">
        <f t="shared" ref="N33:X33" si="13">N34</f>
        <v>0</v>
      </c>
      <c r="O33" s="86">
        <f t="shared" si="13"/>
        <v>720</v>
      </c>
      <c r="P33" s="87">
        <f>P34</f>
        <v>720</v>
      </c>
      <c r="Q33" s="87">
        <f t="shared" si="13"/>
        <v>0</v>
      </c>
      <c r="R33" s="87">
        <f t="shared" si="13"/>
        <v>720</v>
      </c>
      <c r="S33" s="87">
        <f>S34</f>
        <v>720</v>
      </c>
      <c r="T33" s="87">
        <f t="shared" si="13"/>
        <v>0</v>
      </c>
      <c r="U33" s="87">
        <f t="shared" si="13"/>
        <v>720</v>
      </c>
      <c r="V33" s="87">
        <v>720</v>
      </c>
      <c r="W33" s="87">
        <f t="shared" si="13"/>
        <v>0</v>
      </c>
      <c r="X33" s="87">
        <f t="shared" si="13"/>
        <v>720</v>
      </c>
      <c r="Y33" s="88"/>
      <c r="Z33" s="4"/>
      <c r="AA33" s="50"/>
    </row>
    <row r="34" spans="1:27" ht="84" hidden="1" customHeight="1" outlineLevel="1" x14ac:dyDescent="0.2">
      <c r="A34" s="51"/>
      <c r="B34" s="44"/>
      <c r="C34" s="52"/>
      <c r="D34" s="14"/>
      <c r="E34" s="136" t="s">
        <v>373</v>
      </c>
      <c r="F34" s="136"/>
      <c r="G34" s="136"/>
      <c r="H34" s="136"/>
      <c r="I34" s="15" t="s">
        <v>152</v>
      </c>
      <c r="J34" s="6" t="s">
        <v>10</v>
      </c>
      <c r="K34" s="6" t="s">
        <v>27</v>
      </c>
      <c r="L34" s="6" t="s">
        <v>13</v>
      </c>
      <c r="M34" s="19">
        <v>720</v>
      </c>
      <c r="N34" s="19"/>
      <c r="O34" s="19">
        <f>SUM(M34:N34)</f>
        <v>720</v>
      </c>
      <c r="P34" s="33">
        <v>720</v>
      </c>
      <c r="Q34" s="33"/>
      <c r="R34" s="33">
        <f>SUM(P34:Q34)</f>
        <v>720</v>
      </c>
      <c r="S34" s="33">
        <v>720</v>
      </c>
      <c r="T34" s="33"/>
      <c r="U34" s="33">
        <f>SUM(S34:T34)</f>
        <v>720</v>
      </c>
      <c r="V34" s="33">
        <v>720</v>
      </c>
      <c r="W34" s="33"/>
      <c r="X34" s="33">
        <f>SUM(V34:W34)</f>
        <v>720</v>
      </c>
      <c r="Y34" s="98"/>
      <c r="Z34" s="4"/>
      <c r="AA34" s="50"/>
    </row>
    <row r="35" spans="1:27" ht="27.75" customHeight="1" collapsed="1" x14ac:dyDescent="0.2">
      <c r="A35" s="51"/>
      <c r="B35" s="4"/>
      <c r="C35" s="53"/>
      <c r="D35" s="140" t="s">
        <v>328</v>
      </c>
      <c r="E35" s="141"/>
      <c r="F35" s="141"/>
      <c r="G35" s="141"/>
      <c r="H35" s="142"/>
      <c r="I35" s="68" t="s">
        <v>151</v>
      </c>
      <c r="J35" s="69" t="s">
        <v>7</v>
      </c>
      <c r="K35" s="69" t="s">
        <v>4</v>
      </c>
      <c r="L35" s="69" t="s">
        <v>4</v>
      </c>
      <c r="M35" s="71">
        <f>M36+M38</f>
        <v>38181.9</v>
      </c>
      <c r="N35" s="71">
        <f>N36+N38</f>
        <v>0</v>
      </c>
      <c r="O35" s="70">
        <f>SUM(M35:N35)</f>
        <v>38181.9</v>
      </c>
      <c r="P35" s="73">
        <f>P36+P38</f>
        <v>38181.9</v>
      </c>
      <c r="Q35" s="73">
        <f>Q36+Q38</f>
        <v>42.4</v>
      </c>
      <c r="R35" s="72">
        <f>SUM(P35:Q35)</f>
        <v>38224.300000000003</v>
      </c>
      <c r="S35" s="73">
        <f>S36+S38</f>
        <v>38224.300000000003</v>
      </c>
      <c r="T35" s="73">
        <f>T36+T38</f>
        <v>-1110.0999999999999</v>
      </c>
      <c r="U35" s="72">
        <f>SUM(S35:T35)</f>
        <v>37114.200000000004</v>
      </c>
      <c r="V35" s="72">
        <f>SUM(S35:T35)</f>
        <v>37114.200000000004</v>
      </c>
      <c r="W35" s="73">
        <f>W36+W38</f>
        <v>257.89999999999998</v>
      </c>
      <c r="X35" s="72">
        <f>SUM(V35:W35)</f>
        <v>37372.100000000006</v>
      </c>
      <c r="Y35" s="75"/>
      <c r="Z35" s="4"/>
      <c r="AA35" s="50"/>
    </row>
    <row r="36" spans="1:27" ht="45.75" customHeight="1" x14ac:dyDescent="0.2">
      <c r="A36" s="51"/>
      <c r="B36" s="44"/>
      <c r="C36" s="52"/>
      <c r="D36" s="143" t="s">
        <v>195</v>
      </c>
      <c r="E36" s="138"/>
      <c r="F36" s="138"/>
      <c r="G36" s="138"/>
      <c r="H36" s="138"/>
      <c r="I36" s="84" t="s">
        <v>150</v>
      </c>
      <c r="J36" s="85" t="s">
        <v>7</v>
      </c>
      <c r="K36" s="85" t="s">
        <v>23</v>
      </c>
      <c r="L36" s="85" t="s">
        <v>4</v>
      </c>
      <c r="M36" s="86">
        <f>M37</f>
        <v>34004.9</v>
      </c>
      <c r="N36" s="86">
        <f t="shared" ref="N36:X36" si="14">N37</f>
        <v>0</v>
      </c>
      <c r="O36" s="86">
        <f t="shared" si="14"/>
        <v>34004.9</v>
      </c>
      <c r="P36" s="87">
        <f>P37</f>
        <v>34004.9</v>
      </c>
      <c r="Q36" s="87">
        <f t="shared" si="14"/>
        <v>42.4</v>
      </c>
      <c r="R36" s="87">
        <f t="shared" si="14"/>
        <v>34047.300000000003</v>
      </c>
      <c r="S36" s="87">
        <f t="shared" si="14"/>
        <v>34047.300000000003</v>
      </c>
      <c r="T36" s="87">
        <f t="shared" si="14"/>
        <v>2434.9</v>
      </c>
      <c r="U36" s="87">
        <f t="shared" si="14"/>
        <v>36482.200000000004</v>
      </c>
      <c r="V36" s="87">
        <f>SUM(S36:T36)</f>
        <v>36482.200000000004</v>
      </c>
      <c r="W36" s="87">
        <f>W37</f>
        <v>200</v>
      </c>
      <c r="X36" s="87">
        <f t="shared" si="14"/>
        <v>36682.200000000004</v>
      </c>
      <c r="Y36" s="88" t="s">
        <v>389</v>
      </c>
      <c r="Z36" s="4"/>
      <c r="AA36" s="50"/>
    </row>
    <row r="37" spans="1:27" ht="47.25" hidden="1" customHeight="1" outlineLevel="1" x14ac:dyDescent="0.2">
      <c r="A37" s="51"/>
      <c r="B37" s="44"/>
      <c r="C37" s="52"/>
      <c r="D37" s="14"/>
      <c r="E37" s="139" t="s">
        <v>196</v>
      </c>
      <c r="F37" s="136"/>
      <c r="G37" s="136"/>
      <c r="H37" s="136"/>
      <c r="I37" s="15" t="s">
        <v>150</v>
      </c>
      <c r="J37" s="6" t="s">
        <v>7</v>
      </c>
      <c r="K37" s="6" t="s">
        <v>23</v>
      </c>
      <c r="L37" s="6" t="s">
        <v>13</v>
      </c>
      <c r="M37" s="19">
        <v>34004.9</v>
      </c>
      <c r="N37" s="19"/>
      <c r="O37" s="19">
        <f>SUM(M37:N37)</f>
        <v>34004.9</v>
      </c>
      <c r="P37" s="33">
        <v>34004.9</v>
      </c>
      <c r="Q37" s="33">
        <v>42.4</v>
      </c>
      <c r="R37" s="33">
        <f>SUM(P37:Q37)</f>
        <v>34047.300000000003</v>
      </c>
      <c r="S37" s="33">
        <v>34047.300000000003</v>
      </c>
      <c r="T37" s="33">
        <f>3054.9-620</f>
        <v>2434.9</v>
      </c>
      <c r="U37" s="33">
        <f>SUM(S37:T37)</f>
        <v>36482.200000000004</v>
      </c>
      <c r="V37" s="33">
        <f>SUM(S37:T37)</f>
        <v>36482.200000000004</v>
      </c>
      <c r="W37" s="33">
        <v>200</v>
      </c>
      <c r="X37" s="33">
        <f>SUM(V37:W37)</f>
        <v>36682.200000000004</v>
      </c>
      <c r="Y37" s="9" t="s">
        <v>389</v>
      </c>
      <c r="Z37" s="4"/>
      <c r="AA37" s="50"/>
    </row>
    <row r="38" spans="1:27" ht="27" customHeight="1" collapsed="1" x14ac:dyDescent="0.2">
      <c r="A38" s="51"/>
      <c r="B38" s="44"/>
      <c r="C38" s="52"/>
      <c r="D38" s="143" t="s">
        <v>293</v>
      </c>
      <c r="E38" s="138"/>
      <c r="F38" s="138"/>
      <c r="G38" s="138"/>
      <c r="H38" s="138"/>
      <c r="I38" s="84" t="s">
        <v>149</v>
      </c>
      <c r="J38" s="85" t="s">
        <v>7</v>
      </c>
      <c r="K38" s="85" t="s">
        <v>18</v>
      </c>
      <c r="L38" s="85" t="s">
        <v>4</v>
      </c>
      <c r="M38" s="86">
        <f>M39</f>
        <v>4177</v>
      </c>
      <c r="N38" s="86">
        <f t="shared" ref="N38:X38" si="15">N39</f>
        <v>0</v>
      </c>
      <c r="O38" s="86">
        <f t="shared" si="15"/>
        <v>4177</v>
      </c>
      <c r="P38" s="87">
        <f>P39</f>
        <v>4177</v>
      </c>
      <c r="Q38" s="87">
        <f t="shared" si="15"/>
        <v>0</v>
      </c>
      <c r="R38" s="87">
        <f t="shared" si="15"/>
        <v>4177</v>
      </c>
      <c r="S38" s="87">
        <f t="shared" si="15"/>
        <v>4177</v>
      </c>
      <c r="T38" s="87">
        <f t="shared" si="15"/>
        <v>-3545</v>
      </c>
      <c r="U38" s="87">
        <f t="shared" si="15"/>
        <v>632</v>
      </c>
      <c r="V38" s="87">
        <f>SUM(S38:T38)</f>
        <v>632</v>
      </c>
      <c r="W38" s="87">
        <f>W39</f>
        <v>57.9</v>
      </c>
      <c r="X38" s="87">
        <f t="shared" si="15"/>
        <v>689.9</v>
      </c>
      <c r="Y38" s="88" t="s">
        <v>426</v>
      </c>
      <c r="Z38" s="4"/>
      <c r="AA38" s="50"/>
    </row>
    <row r="39" spans="1:27" ht="31.5" hidden="1" customHeight="1" outlineLevel="1" x14ac:dyDescent="0.2">
      <c r="A39" s="51"/>
      <c r="B39" s="44"/>
      <c r="C39" s="52"/>
      <c r="D39" s="14"/>
      <c r="E39" s="139" t="s">
        <v>197</v>
      </c>
      <c r="F39" s="136"/>
      <c r="G39" s="136"/>
      <c r="H39" s="136"/>
      <c r="I39" s="15" t="s">
        <v>149</v>
      </c>
      <c r="J39" s="6" t="s">
        <v>7</v>
      </c>
      <c r="K39" s="6" t="s">
        <v>18</v>
      </c>
      <c r="L39" s="6" t="s">
        <v>13</v>
      </c>
      <c r="M39" s="19">
        <v>4177</v>
      </c>
      <c r="N39" s="19"/>
      <c r="O39" s="19">
        <f>SUM(M39:N39)</f>
        <v>4177</v>
      </c>
      <c r="P39" s="33">
        <v>4177</v>
      </c>
      <c r="Q39" s="33"/>
      <c r="R39" s="33">
        <f>SUM(P39:Q39)</f>
        <v>4177</v>
      </c>
      <c r="S39" s="33">
        <f>SUM(Q39:R39)</f>
        <v>4177</v>
      </c>
      <c r="T39" s="33">
        <f>-1830-115-1600</f>
        <v>-3545</v>
      </c>
      <c r="U39" s="33">
        <f>SUM(S39:T39)</f>
        <v>632</v>
      </c>
      <c r="V39" s="33">
        <f>SUM(S39:T39)</f>
        <v>632</v>
      </c>
      <c r="W39" s="33">
        <v>57.9</v>
      </c>
      <c r="X39" s="33">
        <f>SUM(V39:W39)</f>
        <v>689.9</v>
      </c>
      <c r="Y39" s="9" t="s">
        <v>400</v>
      </c>
      <c r="Z39" s="4"/>
      <c r="AA39" s="50"/>
    </row>
    <row r="40" spans="1:27" ht="32.25" customHeight="1" collapsed="1" x14ac:dyDescent="0.2">
      <c r="A40" s="51"/>
      <c r="B40" s="4"/>
      <c r="C40" s="53"/>
      <c r="D40" s="140" t="s">
        <v>310</v>
      </c>
      <c r="E40" s="159"/>
      <c r="F40" s="159"/>
      <c r="G40" s="159"/>
      <c r="H40" s="160"/>
      <c r="I40" s="76" t="s">
        <v>148</v>
      </c>
      <c r="J40" s="77" t="s">
        <v>5</v>
      </c>
      <c r="K40" s="77" t="s">
        <v>4</v>
      </c>
      <c r="L40" s="77" t="s">
        <v>4</v>
      </c>
      <c r="M40" s="70">
        <f>M41+M47+M51</f>
        <v>407229</v>
      </c>
      <c r="N40" s="70">
        <f>N41+N47+N51</f>
        <v>13772.2</v>
      </c>
      <c r="O40" s="70">
        <f>SUM(M40:N40)</f>
        <v>421001.2</v>
      </c>
      <c r="P40" s="72">
        <f>P41+P47+P51</f>
        <v>421001.2</v>
      </c>
      <c r="Q40" s="72">
        <f>Q41+Q47+Q51</f>
        <v>933.7</v>
      </c>
      <c r="R40" s="72">
        <f>SUM(P40:Q40)</f>
        <v>421934.9</v>
      </c>
      <c r="S40" s="72">
        <f>S41+S47+S51</f>
        <v>421934.9</v>
      </c>
      <c r="T40" s="72">
        <f>T41+T47+T51</f>
        <v>33193.918999999994</v>
      </c>
      <c r="U40" s="72">
        <f>SUM(S40:T40)</f>
        <v>455128.81900000002</v>
      </c>
      <c r="V40" s="72">
        <v>455128.81900000002</v>
      </c>
      <c r="W40" s="72">
        <f>W41+W47+W51</f>
        <v>1826.9</v>
      </c>
      <c r="X40" s="72">
        <f>SUM(V40:W40)</f>
        <v>456955.71900000004</v>
      </c>
      <c r="Y40" s="75"/>
      <c r="Z40" s="4"/>
      <c r="AA40" s="50"/>
    </row>
    <row r="41" spans="1:27" ht="200.25" customHeight="1" x14ac:dyDescent="0.2">
      <c r="A41" s="51"/>
      <c r="B41" s="44"/>
      <c r="C41" s="52"/>
      <c r="D41" s="137" t="s">
        <v>179</v>
      </c>
      <c r="E41" s="138"/>
      <c r="F41" s="138"/>
      <c r="G41" s="138"/>
      <c r="H41" s="138"/>
      <c r="I41" s="84" t="s">
        <v>147</v>
      </c>
      <c r="J41" s="85" t="s">
        <v>5</v>
      </c>
      <c r="K41" s="85" t="s">
        <v>23</v>
      </c>
      <c r="L41" s="85" t="s">
        <v>4</v>
      </c>
      <c r="M41" s="86">
        <f t="shared" ref="M41:R41" si="16">M42+M43+M44</f>
        <v>3914.6</v>
      </c>
      <c r="N41" s="86">
        <f t="shared" si="16"/>
        <v>117.3</v>
      </c>
      <c r="O41" s="86">
        <f t="shared" si="16"/>
        <v>4031.9</v>
      </c>
      <c r="P41" s="87">
        <f t="shared" si="16"/>
        <v>4031.9</v>
      </c>
      <c r="Q41" s="87">
        <f t="shared" si="16"/>
        <v>933.7</v>
      </c>
      <c r="R41" s="87">
        <f t="shared" si="16"/>
        <v>4965.6000000000004</v>
      </c>
      <c r="S41" s="87">
        <f>S42+S43+S44+S45</f>
        <v>4965.6000000000004</v>
      </c>
      <c r="T41" s="87">
        <f>T42+T43+T44+T45</f>
        <v>5499.7</v>
      </c>
      <c r="U41" s="87">
        <f>U42+U43+U44+U45</f>
        <v>10465.299999999999</v>
      </c>
      <c r="V41" s="87">
        <f t="shared" ref="V41:V72" si="17">SUM(S41:T41)</f>
        <v>10465.299999999999</v>
      </c>
      <c r="W41" s="87">
        <f>W42+W43+W44+W45</f>
        <v>1159.9000000000001</v>
      </c>
      <c r="X41" s="87">
        <f>X42+X43+X44+X45</f>
        <v>11625.2</v>
      </c>
      <c r="Y41" s="88" t="s">
        <v>411</v>
      </c>
      <c r="Z41" s="4"/>
      <c r="AA41" s="50"/>
    </row>
    <row r="42" spans="1:27" ht="74.25" hidden="1" customHeight="1" outlineLevel="1" x14ac:dyDescent="0.2">
      <c r="A42" s="51"/>
      <c r="B42" s="44"/>
      <c r="C42" s="52"/>
      <c r="D42" s="14"/>
      <c r="E42" s="136" t="s">
        <v>198</v>
      </c>
      <c r="F42" s="136"/>
      <c r="G42" s="136"/>
      <c r="H42" s="136"/>
      <c r="I42" s="15" t="s">
        <v>146</v>
      </c>
      <c r="J42" s="6" t="s">
        <v>5</v>
      </c>
      <c r="K42" s="6" t="s">
        <v>23</v>
      </c>
      <c r="L42" s="6" t="s">
        <v>13</v>
      </c>
      <c r="M42" s="19">
        <v>564.6</v>
      </c>
      <c r="N42" s="19"/>
      <c r="O42" s="19">
        <f t="shared" ref="O42:O56" si="18">SUM(M42:N42)</f>
        <v>564.6</v>
      </c>
      <c r="P42" s="33">
        <v>564.6</v>
      </c>
      <c r="Q42" s="33">
        <f>933.7</f>
        <v>933.7</v>
      </c>
      <c r="R42" s="33">
        <f>SUM(P42:Q42)</f>
        <v>1498.3000000000002</v>
      </c>
      <c r="S42" s="33">
        <v>1498.3</v>
      </c>
      <c r="T42" s="33">
        <f>202.9+35.8</f>
        <v>238.7</v>
      </c>
      <c r="U42" s="33">
        <f t="shared" ref="U42:U50" si="19">SUM(S42:T42)</f>
        <v>1737</v>
      </c>
      <c r="V42" s="33">
        <f t="shared" si="17"/>
        <v>1737</v>
      </c>
      <c r="W42" s="33">
        <v>0.1</v>
      </c>
      <c r="X42" s="33">
        <f t="shared" ref="X42:X50" si="20">SUM(V42:W42)</f>
        <v>1737.1</v>
      </c>
      <c r="Y42" s="9" t="s">
        <v>395</v>
      </c>
      <c r="Z42" s="4"/>
      <c r="AA42" s="50"/>
    </row>
    <row r="43" spans="1:27" ht="69.75" hidden="1" customHeight="1" outlineLevel="1" x14ac:dyDescent="0.2">
      <c r="A43" s="51"/>
      <c r="B43" s="44"/>
      <c r="C43" s="52"/>
      <c r="D43" s="14"/>
      <c r="E43" s="136" t="s">
        <v>199</v>
      </c>
      <c r="F43" s="136"/>
      <c r="G43" s="136"/>
      <c r="H43" s="136"/>
      <c r="I43" s="15" t="s">
        <v>145</v>
      </c>
      <c r="J43" s="6" t="s">
        <v>5</v>
      </c>
      <c r="K43" s="6" t="s">
        <v>23</v>
      </c>
      <c r="L43" s="6" t="s">
        <v>11</v>
      </c>
      <c r="M43" s="19">
        <v>200</v>
      </c>
      <c r="N43" s="19">
        <f>17.3</f>
        <v>17.3</v>
      </c>
      <c r="O43" s="19">
        <f t="shared" si="18"/>
        <v>217.3</v>
      </c>
      <c r="P43" s="33">
        <v>217.3</v>
      </c>
      <c r="Q43" s="33">
        <v>-144.6</v>
      </c>
      <c r="R43" s="33">
        <f>SUM(P43:Q43)</f>
        <v>72.700000000000017</v>
      </c>
      <c r="S43" s="33">
        <v>72.7</v>
      </c>
      <c r="T43" s="33">
        <f>400-55.4</f>
        <v>344.6</v>
      </c>
      <c r="U43" s="33">
        <f t="shared" si="19"/>
        <v>417.3</v>
      </c>
      <c r="V43" s="33">
        <f t="shared" si="17"/>
        <v>417.3</v>
      </c>
      <c r="W43" s="33"/>
      <c r="X43" s="33">
        <f t="shared" si="20"/>
        <v>417.3</v>
      </c>
      <c r="Y43" s="9"/>
      <c r="Z43" s="4"/>
      <c r="AA43" s="50"/>
    </row>
    <row r="44" spans="1:27" ht="174" hidden="1" customHeight="1" outlineLevel="1" x14ac:dyDescent="0.2">
      <c r="A44" s="51"/>
      <c r="B44" s="44"/>
      <c r="C44" s="52"/>
      <c r="D44" s="14"/>
      <c r="E44" s="136" t="s">
        <v>200</v>
      </c>
      <c r="F44" s="136"/>
      <c r="G44" s="136"/>
      <c r="H44" s="136"/>
      <c r="I44" s="15" t="s">
        <v>144</v>
      </c>
      <c r="J44" s="6" t="s">
        <v>5</v>
      </c>
      <c r="K44" s="6" t="s">
        <v>23</v>
      </c>
      <c r="L44" s="6" t="s">
        <v>26</v>
      </c>
      <c r="M44" s="19">
        <v>3150</v>
      </c>
      <c r="N44" s="19">
        <v>100</v>
      </c>
      <c r="O44" s="19">
        <f t="shared" si="18"/>
        <v>3250</v>
      </c>
      <c r="P44" s="33">
        <v>3250</v>
      </c>
      <c r="Q44" s="33">
        <v>144.6</v>
      </c>
      <c r="R44" s="33">
        <f>SUM(P44:Q44)</f>
        <v>3394.6</v>
      </c>
      <c r="S44" s="33">
        <v>3394.6</v>
      </c>
      <c r="T44" s="33">
        <f>200+300+613.2+311.7+183.7+319.2-0.5-10.9</f>
        <v>1916.4</v>
      </c>
      <c r="U44" s="33">
        <f t="shared" si="19"/>
        <v>5311</v>
      </c>
      <c r="V44" s="33">
        <f t="shared" si="17"/>
        <v>5311</v>
      </c>
      <c r="W44" s="33">
        <f>-2.6+999.9-3.3-42.5</f>
        <v>951.5</v>
      </c>
      <c r="X44" s="33">
        <f t="shared" si="20"/>
        <v>6262.5</v>
      </c>
      <c r="Y44" s="9" t="s">
        <v>407</v>
      </c>
      <c r="Z44" s="4"/>
      <c r="AA44" s="50"/>
    </row>
    <row r="45" spans="1:27" ht="66.75" hidden="1" customHeight="1" outlineLevel="1" x14ac:dyDescent="0.2">
      <c r="A45" s="51"/>
      <c r="B45" s="44"/>
      <c r="C45" s="52"/>
      <c r="D45" s="14"/>
      <c r="E45" s="189" t="s">
        <v>362</v>
      </c>
      <c r="F45" s="147"/>
      <c r="G45" s="147"/>
      <c r="H45" s="148"/>
      <c r="I45" s="15"/>
      <c r="J45" s="6" t="s">
        <v>5</v>
      </c>
      <c r="K45" s="6" t="s">
        <v>23</v>
      </c>
      <c r="L45" s="6">
        <v>4</v>
      </c>
      <c r="M45" s="19"/>
      <c r="N45" s="19"/>
      <c r="O45" s="19"/>
      <c r="P45" s="33"/>
      <c r="Q45" s="33"/>
      <c r="R45" s="33"/>
      <c r="S45" s="33">
        <v>0</v>
      </c>
      <c r="T45" s="33">
        <f>3000</f>
        <v>3000</v>
      </c>
      <c r="U45" s="33">
        <f t="shared" si="19"/>
        <v>3000</v>
      </c>
      <c r="V45" s="33">
        <f t="shared" si="17"/>
        <v>3000</v>
      </c>
      <c r="W45" s="33">
        <v>208.3</v>
      </c>
      <c r="X45" s="33">
        <f t="shared" si="20"/>
        <v>3208.3</v>
      </c>
      <c r="Y45" s="9" t="s">
        <v>383</v>
      </c>
      <c r="Z45" s="4"/>
      <c r="AA45" s="50"/>
    </row>
    <row r="46" spans="1:27" ht="22.5" hidden="1" customHeight="1" outlineLevel="1" x14ac:dyDescent="0.2">
      <c r="A46" s="51"/>
      <c r="B46" s="44"/>
      <c r="C46" s="52"/>
      <c r="D46" s="14"/>
      <c r="E46" s="138" t="s">
        <v>201</v>
      </c>
      <c r="F46" s="138"/>
      <c r="G46" s="138"/>
      <c r="H46" s="138"/>
      <c r="I46" s="84" t="s">
        <v>142</v>
      </c>
      <c r="J46" s="85" t="s">
        <v>5</v>
      </c>
      <c r="K46" s="85" t="s">
        <v>23</v>
      </c>
      <c r="L46" s="85" t="s">
        <v>143</v>
      </c>
      <c r="M46" s="86">
        <v>0</v>
      </c>
      <c r="N46" s="86"/>
      <c r="O46" s="86">
        <f t="shared" si="18"/>
        <v>0</v>
      </c>
      <c r="P46" s="87">
        <v>0</v>
      </c>
      <c r="Q46" s="87"/>
      <c r="R46" s="87">
        <f>SUM(P46:Q46)</f>
        <v>0</v>
      </c>
      <c r="S46" s="87">
        <v>0</v>
      </c>
      <c r="T46" s="87"/>
      <c r="U46" s="87">
        <f t="shared" si="19"/>
        <v>0</v>
      </c>
      <c r="V46" s="87">
        <f t="shared" si="17"/>
        <v>0</v>
      </c>
      <c r="W46" s="87"/>
      <c r="X46" s="87">
        <f t="shared" si="20"/>
        <v>0</v>
      </c>
      <c r="Y46" s="90"/>
      <c r="Z46" s="4"/>
      <c r="AA46" s="50"/>
    </row>
    <row r="47" spans="1:27" ht="46.5" customHeight="1" collapsed="1" x14ac:dyDescent="0.2">
      <c r="A47" s="51"/>
      <c r="B47" s="44"/>
      <c r="C47" s="52"/>
      <c r="D47" s="137" t="s">
        <v>202</v>
      </c>
      <c r="E47" s="138"/>
      <c r="F47" s="138"/>
      <c r="G47" s="138"/>
      <c r="H47" s="138"/>
      <c r="I47" s="84" t="s">
        <v>141</v>
      </c>
      <c r="J47" s="85" t="s">
        <v>5</v>
      </c>
      <c r="K47" s="85" t="s">
        <v>18</v>
      </c>
      <c r="L47" s="85" t="s">
        <v>4</v>
      </c>
      <c r="M47" s="86">
        <f>M48+M49+M50</f>
        <v>3504.6</v>
      </c>
      <c r="N47" s="86">
        <f>N48+N49+N50</f>
        <v>153.69999999999999</v>
      </c>
      <c r="O47" s="86">
        <f>SUM(M47:N47)</f>
        <v>3658.2999999999997</v>
      </c>
      <c r="P47" s="87">
        <f>P48+P49+P50</f>
        <v>3658.3</v>
      </c>
      <c r="Q47" s="87">
        <f>Q48+Q49+Q50</f>
        <v>0</v>
      </c>
      <c r="R47" s="87">
        <f>SUM(P47:Q47)</f>
        <v>3658.3</v>
      </c>
      <c r="S47" s="87">
        <f>S48+S49+S50</f>
        <v>3658.3</v>
      </c>
      <c r="T47" s="87">
        <f>T48+T49+T50</f>
        <v>-435.8610000000001</v>
      </c>
      <c r="U47" s="87">
        <f t="shared" si="19"/>
        <v>3222.4390000000003</v>
      </c>
      <c r="V47" s="87">
        <f t="shared" si="17"/>
        <v>3222.4390000000003</v>
      </c>
      <c r="W47" s="87">
        <f>W48+W49+W50</f>
        <v>500</v>
      </c>
      <c r="X47" s="87">
        <f t="shared" si="20"/>
        <v>3722.4390000000003</v>
      </c>
      <c r="Y47" s="88" t="s">
        <v>408</v>
      </c>
      <c r="Z47" s="4"/>
      <c r="AA47" s="50"/>
    </row>
    <row r="48" spans="1:27" ht="52.5" hidden="1" customHeight="1" outlineLevel="1" x14ac:dyDescent="0.2">
      <c r="A48" s="51"/>
      <c r="B48" s="44"/>
      <c r="C48" s="52"/>
      <c r="D48" s="14"/>
      <c r="E48" s="136" t="s">
        <v>203</v>
      </c>
      <c r="F48" s="136"/>
      <c r="G48" s="136"/>
      <c r="H48" s="136"/>
      <c r="I48" s="15" t="s">
        <v>140</v>
      </c>
      <c r="J48" s="6" t="s">
        <v>5</v>
      </c>
      <c r="K48" s="6" t="s">
        <v>18</v>
      </c>
      <c r="L48" s="6" t="s">
        <v>13</v>
      </c>
      <c r="M48" s="19">
        <v>50</v>
      </c>
      <c r="N48" s="19"/>
      <c r="O48" s="19">
        <f t="shared" si="18"/>
        <v>50</v>
      </c>
      <c r="P48" s="33">
        <v>50</v>
      </c>
      <c r="Q48" s="33"/>
      <c r="R48" s="33">
        <f>SUM(P48:Q48)</f>
        <v>50</v>
      </c>
      <c r="S48" s="33">
        <v>50</v>
      </c>
      <c r="T48" s="33"/>
      <c r="U48" s="33">
        <f t="shared" si="19"/>
        <v>50</v>
      </c>
      <c r="V48" s="33">
        <f t="shared" si="17"/>
        <v>50</v>
      </c>
      <c r="W48" s="33"/>
      <c r="X48" s="33">
        <f t="shared" si="20"/>
        <v>50</v>
      </c>
      <c r="Y48" s="21"/>
      <c r="Z48" s="4"/>
      <c r="AA48" s="50"/>
    </row>
    <row r="49" spans="1:27" ht="55.5" hidden="1" customHeight="1" outlineLevel="1" x14ac:dyDescent="0.2">
      <c r="A49" s="51"/>
      <c r="B49" s="44"/>
      <c r="C49" s="52"/>
      <c r="D49" s="14"/>
      <c r="E49" s="136" t="s">
        <v>204</v>
      </c>
      <c r="F49" s="136"/>
      <c r="G49" s="136"/>
      <c r="H49" s="136"/>
      <c r="I49" s="15" t="s">
        <v>139</v>
      </c>
      <c r="J49" s="6" t="s">
        <v>5</v>
      </c>
      <c r="K49" s="6" t="s">
        <v>18</v>
      </c>
      <c r="L49" s="6" t="s">
        <v>11</v>
      </c>
      <c r="M49" s="19">
        <v>304.60000000000002</v>
      </c>
      <c r="N49" s="19">
        <f>102.1+43.8+7.8</f>
        <v>153.69999999999999</v>
      </c>
      <c r="O49" s="19">
        <f t="shared" si="18"/>
        <v>458.3</v>
      </c>
      <c r="P49" s="33">
        <v>458.3</v>
      </c>
      <c r="Q49" s="33"/>
      <c r="R49" s="33">
        <f>SUM(P49:Q49)</f>
        <v>458.3</v>
      </c>
      <c r="S49" s="33">
        <v>458.3</v>
      </c>
      <c r="T49" s="33">
        <f>200+0.039</f>
        <v>200.03899999999999</v>
      </c>
      <c r="U49" s="33">
        <f t="shared" si="19"/>
        <v>658.33899999999994</v>
      </c>
      <c r="V49" s="33">
        <f t="shared" si="17"/>
        <v>658.33899999999994</v>
      </c>
      <c r="W49" s="33"/>
      <c r="X49" s="33">
        <f t="shared" si="20"/>
        <v>658.33899999999994</v>
      </c>
      <c r="Y49" s="9"/>
      <c r="Z49" s="4"/>
      <c r="AA49" s="50"/>
    </row>
    <row r="50" spans="1:27" ht="119.25" hidden="1" customHeight="1" outlineLevel="1" x14ac:dyDescent="0.2">
      <c r="A50" s="51"/>
      <c r="B50" s="44"/>
      <c r="C50" s="52"/>
      <c r="D50" s="14"/>
      <c r="E50" s="136" t="s">
        <v>313</v>
      </c>
      <c r="F50" s="136"/>
      <c r="G50" s="136"/>
      <c r="H50" s="136"/>
      <c r="I50" s="15" t="s">
        <v>138</v>
      </c>
      <c r="J50" s="6" t="s">
        <v>5</v>
      </c>
      <c r="K50" s="6" t="s">
        <v>18</v>
      </c>
      <c r="L50" s="6" t="s">
        <v>26</v>
      </c>
      <c r="M50" s="19">
        <v>3150</v>
      </c>
      <c r="N50" s="19"/>
      <c r="O50" s="18">
        <f t="shared" si="18"/>
        <v>3150</v>
      </c>
      <c r="P50" s="33">
        <v>3150</v>
      </c>
      <c r="Q50" s="33"/>
      <c r="R50" s="34">
        <f>SUM(P50:Q50)</f>
        <v>3150</v>
      </c>
      <c r="S50" s="33">
        <v>3150</v>
      </c>
      <c r="T50" s="33">
        <f>-311.7-238-126.2+40</f>
        <v>-635.90000000000009</v>
      </c>
      <c r="U50" s="34">
        <f t="shared" si="19"/>
        <v>2514.1</v>
      </c>
      <c r="V50" s="34">
        <f t="shared" si="17"/>
        <v>2514.1</v>
      </c>
      <c r="W50" s="33">
        <v>500</v>
      </c>
      <c r="X50" s="34">
        <f t="shared" si="20"/>
        <v>3014.1</v>
      </c>
      <c r="Y50" s="108" t="s">
        <v>408</v>
      </c>
      <c r="Z50" s="4"/>
      <c r="AA50" s="50"/>
    </row>
    <row r="51" spans="1:27" ht="151.5" customHeight="1" collapsed="1" x14ac:dyDescent="0.2">
      <c r="A51" s="51"/>
      <c r="B51" s="44"/>
      <c r="C51" s="52"/>
      <c r="D51" s="137" t="s">
        <v>205</v>
      </c>
      <c r="E51" s="138"/>
      <c r="F51" s="138"/>
      <c r="G51" s="138"/>
      <c r="H51" s="138"/>
      <c r="I51" s="84" t="s">
        <v>137</v>
      </c>
      <c r="J51" s="85" t="s">
        <v>5</v>
      </c>
      <c r="K51" s="85">
        <v>3</v>
      </c>
      <c r="L51" s="85" t="s">
        <v>4</v>
      </c>
      <c r="M51" s="86">
        <f>M52</f>
        <v>399809.8</v>
      </c>
      <c r="N51" s="86">
        <f t="shared" ref="N51:T51" si="21">N52</f>
        <v>13501.2</v>
      </c>
      <c r="O51" s="86">
        <f t="shared" si="21"/>
        <v>413311</v>
      </c>
      <c r="P51" s="87">
        <f>P52</f>
        <v>413311</v>
      </c>
      <c r="Q51" s="87">
        <f t="shared" si="21"/>
        <v>0</v>
      </c>
      <c r="R51" s="87">
        <f t="shared" si="21"/>
        <v>413311</v>
      </c>
      <c r="S51" s="87">
        <f>S52</f>
        <v>413311</v>
      </c>
      <c r="T51" s="87">
        <f t="shared" si="21"/>
        <v>28130.079999999998</v>
      </c>
      <c r="U51" s="87">
        <f>U52</f>
        <v>441441.08</v>
      </c>
      <c r="V51" s="87">
        <f t="shared" si="17"/>
        <v>441441.08</v>
      </c>
      <c r="W51" s="87">
        <f>W52</f>
        <v>167</v>
      </c>
      <c r="X51" s="87">
        <f>X52</f>
        <v>441608.08</v>
      </c>
      <c r="Y51" s="88" t="s">
        <v>435</v>
      </c>
      <c r="Z51" s="4"/>
      <c r="AA51" s="50"/>
    </row>
    <row r="52" spans="1:27" ht="156" hidden="1" customHeight="1" outlineLevel="1" x14ac:dyDescent="0.2">
      <c r="A52" s="51"/>
      <c r="B52" s="44"/>
      <c r="C52" s="52"/>
      <c r="D52" s="14"/>
      <c r="E52" s="136" t="s">
        <v>206</v>
      </c>
      <c r="F52" s="136"/>
      <c r="G52" s="136"/>
      <c r="H52" s="136"/>
      <c r="I52" s="15" t="s">
        <v>137</v>
      </c>
      <c r="J52" s="6" t="s">
        <v>5</v>
      </c>
      <c r="K52" s="6" t="s">
        <v>27</v>
      </c>
      <c r="L52" s="6" t="s">
        <v>13</v>
      </c>
      <c r="M52" s="19">
        <v>399809.8</v>
      </c>
      <c r="N52" s="19">
        <f>533.1-17.3+12993.2-7.8</f>
        <v>13501.2</v>
      </c>
      <c r="O52" s="19">
        <f t="shared" si="18"/>
        <v>413311</v>
      </c>
      <c r="P52" s="33">
        <v>413311</v>
      </c>
      <c r="Q52" s="33"/>
      <c r="R52" s="33">
        <f t="shared" ref="R52:R81" si="22">SUM(P52:Q52)</f>
        <v>413311</v>
      </c>
      <c r="S52" s="33">
        <v>413311</v>
      </c>
      <c r="T52" s="33">
        <f>400+55.4+183.2+0.08+10.9+25942.3+1201.1+372.9-35.8</f>
        <v>28130.079999999998</v>
      </c>
      <c r="U52" s="33">
        <f t="shared" ref="U52:U82" si="23">SUM(S52:T52)</f>
        <v>441441.08</v>
      </c>
      <c r="V52" s="33">
        <f t="shared" si="17"/>
        <v>441441.08</v>
      </c>
      <c r="W52" s="33">
        <f>57.6+2.6+3.3+42.5+61</f>
        <v>167</v>
      </c>
      <c r="X52" s="33">
        <f t="shared" ref="X52:X82" si="24">SUM(V52:W52)</f>
        <v>441608.08</v>
      </c>
      <c r="Y52" s="9" t="s">
        <v>434</v>
      </c>
      <c r="Z52" s="4"/>
      <c r="AA52" s="50"/>
    </row>
    <row r="53" spans="1:27" ht="40.5" customHeight="1" collapsed="1" x14ac:dyDescent="0.2">
      <c r="A53" s="51"/>
      <c r="B53" s="4"/>
      <c r="C53" s="53"/>
      <c r="D53" s="140" t="s">
        <v>329</v>
      </c>
      <c r="E53" s="141"/>
      <c r="F53" s="141"/>
      <c r="G53" s="141"/>
      <c r="H53" s="142"/>
      <c r="I53" s="68" t="s">
        <v>136</v>
      </c>
      <c r="J53" s="69" t="s">
        <v>1</v>
      </c>
      <c r="K53" s="69" t="s">
        <v>4</v>
      </c>
      <c r="L53" s="69" t="s">
        <v>4</v>
      </c>
      <c r="M53" s="71">
        <f>M54</f>
        <v>200</v>
      </c>
      <c r="N53" s="71">
        <f>N54</f>
        <v>0</v>
      </c>
      <c r="O53" s="70">
        <f>SUM(M53:N53)</f>
        <v>200</v>
      </c>
      <c r="P53" s="73">
        <f>P54</f>
        <v>200</v>
      </c>
      <c r="Q53" s="73">
        <f>Q54</f>
        <v>0</v>
      </c>
      <c r="R53" s="72">
        <f t="shared" si="22"/>
        <v>200</v>
      </c>
      <c r="S53" s="73">
        <f>S54</f>
        <v>200</v>
      </c>
      <c r="T53" s="73">
        <f>T54</f>
        <v>0</v>
      </c>
      <c r="U53" s="72">
        <f t="shared" si="23"/>
        <v>200</v>
      </c>
      <c r="V53" s="72">
        <f t="shared" si="17"/>
        <v>200</v>
      </c>
      <c r="W53" s="73">
        <f>W54</f>
        <v>0</v>
      </c>
      <c r="X53" s="72">
        <f t="shared" si="24"/>
        <v>200</v>
      </c>
      <c r="Y53" s="74"/>
      <c r="Z53" s="4"/>
      <c r="AA53" s="50"/>
    </row>
    <row r="54" spans="1:27" ht="36" hidden="1" customHeight="1" outlineLevel="1" x14ac:dyDescent="0.2">
      <c r="A54" s="51"/>
      <c r="B54" s="44"/>
      <c r="C54" s="52"/>
      <c r="D54" s="14"/>
      <c r="E54" s="139" t="s">
        <v>207</v>
      </c>
      <c r="F54" s="136"/>
      <c r="G54" s="136"/>
      <c r="H54" s="136"/>
      <c r="I54" s="15" t="s">
        <v>136</v>
      </c>
      <c r="J54" s="6" t="s">
        <v>1</v>
      </c>
      <c r="K54" s="6" t="s">
        <v>2</v>
      </c>
      <c r="L54" s="6" t="s">
        <v>13</v>
      </c>
      <c r="M54" s="19">
        <v>200</v>
      </c>
      <c r="N54" s="19"/>
      <c r="O54" s="19">
        <f t="shared" si="18"/>
        <v>200</v>
      </c>
      <c r="P54" s="33">
        <v>200</v>
      </c>
      <c r="Q54" s="33"/>
      <c r="R54" s="33">
        <f t="shared" si="22"/>
        <v>200</v>
      </c>
      <c r="S54" s="33">
        <v>200</v>
      </c>
      <c r="T54" s="33"/>
      <c r="U54" s="33">
        <f t="shared" si="23"/>
        <v>200</v>
      </c>
      <c r="V54" s="33">
        <f t="shared" si="17"/>
        <v>200</v>
      </c>
      <c r="W54" s="33"/>
      <c r="X54" s="33">
        <f t="shared" si="24"/>
        <v>200</v>
      </c>
      <c r="Y54" s="9"/>
      <c r="Z54" s="4"/>
      <c r="AA54" s="50"/>
    </row>
    <row r="55" spans="1:27" ht="49.5" customHeight="1" collapsed="1" x14ac:dyDescent="0.2">
      <c r="A55" s="51"/>
      <c r="B55" s="4"/>
      <c r="C55" s="53"/>
      <c r="D55" s="140" t="s">
        <v>306</v>
      </c>
      <c r="E55" s="141"/>
      <c r="F55" s="141"/>
      <c r="G55" s="141"/>
      <c r="H55" s="142"/>
      <c r="I55" s="68" t="s">
        <v>135</v>
      </c>
      <c r="J55" s="69" t="s">
        <v>134</v>
      </c>
      <c r="K55" s="69" t="s">
        <v>4</v>
      </c>
      <c r="L55" s="69" t="s">
        <v>4</v>
      </c>
      <c r="M55" s="71">
        <f>M56</f>
        <v>18882.400000000001</v>
      </c>
      <c r="N55" s="71">
        <f>N56</f>
        <v>3471.4</v>
      </c>
      <c r="O55" s="70">
        <f>SUM(M55:N55)</f>
        <v>22353.800000000003</v>
      </c>
      <c r="P55" s="73">
        <f>P56</f>
        <v>22353.8</v>
      </c>
      <c r="Q55" s="73">
        <f>Q56</f>
        <v>0</v>
      </c>
      <c r="R55" s="72">
        <f t="shared" si="22"/>
        <v>22353.8</v>
      </c>
      <c r="S55" s="73">
        <f>S56</f>
        <v>22353.8</v>
      </c>
      <c r="T55" s="73">
        <f>T56</f>
        <v>2493.3000000000002</v>
      </c>
      <c r="U55" s="72">
        <f t="shared" si="23"/>
        <v>24847.1</v>
      </c>
      <c r="V55" s="72">
        <f t="shared" si="17"/>
        <v>24847.1</v>
      </c>
      <c r="W55" s="73">
        <f>W56</f>
        <v>246</v>
      </c>
      <c r="X55" s="72">
        <f t="shared" si="24"/>
        <v>25093.1</v>
      </c>
      <c r="Y55" s="115" t="s">
        <v>414</v>
      </c>
      <c r="Z55" s="4"/>
      <c r="AA55" s="50"/>
    </row>
    <row r="56" spans="1:27" ht="138" hidden="1" customHeight="1" outlineLevel="1" x14ac:dyDescent="0.2">
      <c r="A56" s="51"/>
      <c r="B56" s="44"/>
      <c r="C56" s="52"/>
      <c r="D56" s="14"/>
      <c r="E56" s="136" t="s">
        <v>208</v>
      </c>
      <c r="F56" s="136"/>
      <c r="G56" s="136"/>
      <c r="H56" s="136"/>
      <c r="I56" s="15" t="s">
        <v>135</v>
      </c>
      <c r="J56" s="6" t="s">
        <v>134</v>
      </c>
      <c r="K56" s="6" t="s">
        <v>2</v>
      </c>
      <c r="L56" s="6" t="s">
        <v>13</v>
      </c>
      <c r="M56" s="19">
        <v>18882.400000000001</v>
      </c>
      <c r="N56" s="19">
        <v>3471.4</v>
      </c>
      <c r="O56" s="19">
        <f t="shared" si="18"/>
        <v>22353.800000000003</v>
      </c>
      <c r="P56" s="33">
        <v>22353.8</v>
      </c>
      <c r="Q56" s="33"/>
      <c r="R56" s="33">
        <f t="shared" si="22"/>
        <v>22353.8</v>
      </c>
      <c r="S56" s="33">
        <v>22353.8</v>
      </c>
      <c r="T56" s="33">
        <f>1000+58.7+1121.2+39.4+274</f>
        <v>2493.3000000000002</v>
      </c>
      <c r="U56" s="33">
        <f t="shared" si="23"/>
        <v>24847.1</v>
      </c>
      <c r="V56" s="33">
        <f t="shared" si="17"/>
        <v>24847.1</v>
      </c>
      <c r="W56" s="33">
        <v>246</v>
      </c>
      <c r="X56" s="33">
        <f t="shared" si="24"/>
        <v>25093.1</v>
      </c>
      <c r="Y56" s="97" t="s">
        <v>410</v>
      </c>
      <c r="Z56" s="4"/>
      <c r="AA56" s="50"/>
    </row>
    <row r="57" spans="1:27" ht="38.25" customHeight="1" collapsed="1" x14ac:dyDescent="0.2">
      <c r="A57" s="51"/>
      <c r="B57" s="4"/>
      <c r="C57" s="53"/>
      <c r="D57" s="140" t="s">
        <v>374</v>
      </c>
      <c r="E57" s="159"/>
      <c r="F57" s="159"/>
      <c r="G57" s="159"/>
      <c r="H57" s="160"/>
      <c r="I57" s="76" t="s">
        <v>133</v>
      </c>
      <c r="J57" s="77" t="s">
        <v>124</v>
      </c>
      <c r="K57" s="77" t="s">
        <v>4</v>
      </c>
      <c r="L57" s="77" t="s">
        <v>4</v>
      </c>
      <c r="M57" s="70">
        <f>M58+M63</f>
        <v>239594.6</v>
      </c>
      <c r="N57" s="70">
        <f>N58+N63</f>
        <v>5011</v>
      </c>
      <c r="O57" s="70">
        <f>SUM(M57:N57)</f>
        <v>244605.6</v>
      </c>
      <c r="P57" s="72">
        <f>P58+P63</f>
        <v>244605.6</v>
      </c>
      <c r="Q57" s="72">
        <f>Q58+Q63</f>
        <v>2648.9</v>
      </c>
      <c r="R57" s="72">
        <f t="shared" si="22"/>
        <v>247254.5</v>
      </c>
      <c r="S57" s="72">
        <f>S58+S63+S68</f>
        <v>247254.5</v>
      </c>
      <c r="T57" s="72">
        <f>T58+T63+T68</f>
        <v>12884.1</v>
      </c>
      <c r="U57" s="72">
        <f t="shared" si="23"/>
        <v>260138.6</v>
      </c>
      <c r="V57" s="72">
        <f t="shared" si="17"/>
        <v>260138.6</v>
      </c>
      <c r="W57" s="72">
        <f>W58+W63+W68</f>
        <v>0</v>
      </c>
      <c r="X57" s="72">
        <f t="shared" si="24"/>
        <v>260138.6</v>
      </c>
      <c r="Y57" s="75"/>
      <c r="Z57" s="4"/>
      <c r="AA57" s="50"/>
    </row>
    <row r="58" spans="1:27" ht="27.75" customHeight="1" x14ac:dyDescent="0.2">
      <c r="A58" s="51"/>
      <c r="B58" s="44"/>
      <c r="C58" s="52"/>
      <c r="D58" s="137" t="s">
        <v>209</v>
      </c>
      <c r="E58" s="138"/>
      <c r="F58" s="138"/>
      <c r="G58" s="138"/>
      <c r="H58" s="138"/>
      <c r="I58" s="84" t="s">
        <v>132</v>
      </c>
      <c r="J58" s="85" t="s">
        <v>124</v>
      </c>
      <c r="K58" s="85">
        <v>1</v>
      </c>
      <c r="L58" s="85" t="s">
        <v>4</v>
      </c>
      <c r="M58" s="86">
        <f>M59+M60+M61+M62</f>
        <v>231338.5</v>
      </c>
      <c r="N58" s="86">
        <f>N59+N60+N61+N62</f>
        <v>5011</v>
      </c>
      <c r="O58" s="86">
        <f>SUM(M58:N58)</f>
        <v>236349.5</v>
      </c>
      <c r="P58" s="87">
        <f>P59+P60+P61+P62</f>
        <v>236349.5</v>
      </c>
      <c r="Q58" s="87">
        <f>Q59+Q60+Q61+Q62</f>
        <v>2450</v>
      </c>
      <c r="R58" s="87">
        <f t="shared" si="22"/>
        <v>238799.5</v>
      </c>
      <c r="S58" s="87">
        <f>S59+S60+S61+S62</f>
        <v>238799.5</v>
      </c>
      <c r="T58" s="87">
        <f>T59+T60+T61+T62</f>
        <v>12341.1</v>
      </c>
      <c r="U58" s="87">
        <f t="shared" si="23"/>
        <v>251140.6</v>
      </c>
      <c r="V58" s="87">
        <f t="shared" si="17"/>
        <v>251140.6</v>
      </c>
      <c r="W58" s="87">
        <f>W59+W60+W61+W62</f>
        <v>0</v>
      </c>
      <c r="X58" s="87">
        <f t="shared" si="24"/>
        <v>251140.6</v>
      </c>
      <c r="Y58" s="88"/>
      <c r="Z58" s="4"/>
      <c r="AA58" s="50"/>
    </row>
    <row r="59" spans="1:27" ht="38.25" hidden="1" customHeight="1" outlineLevel="1" x14ac:dyDescent="0.2">
      <c r="A59" s="51"/>
      <c r="B59" s="44"/>
      <c r="C59" s="52"/>
      <c r="D59" s="14"/>
      <c r="E59" s="136" t="s">
        <v>210</v>
      </c>
      <c r="F59" s="136"/>
      <c r="G59" s="136"/>
      <c r="H59" s="136"/>
      <c r="I59" s="15" t="s">
        <v>131</v>
      </c>
      <c r="J59" s="6" t="s">
        <v>124</v>
      </c>
      <c r="K59" s="6" t="s">
        <v>23</v>
      </c>
      <c r="L59" s="6" t="s">
        <v>13</v>
      </c>
      <c r="M59" s="19">
        <v>300</v>
      </c>
      <c r="N59" s="19"/>
      <c r="O59" s="19">
        <f t="shared" ref="O59:O74" si="25">SUM(M59:N59)</f>
        <v>300</v>
      </c>
      <c r="P59" s="33">
        <v>300</v>
      </c>
      <c r="Q59" s="33"/>
      <c r="R59" s="33">
        <f t="shared" si="22"/>
        <v>300</v>
      </c>
      <c r="S59" s="33">
        <v>300</v>
      </c>
      <c r="T59" s="33"/>
      <c r="U59" s="33">
        <f t="shared" si="23"/>
        <v>300</v>
      </c>
      <c r="V59" s="33">
        <f t="shared" si="17"/>
        <v>300</v>
      </c>
      <c r="W59" s="33"/>
      <c r="X59" s="33">
        <f t="shared" si="24"/>
        <v>300</v>
      </c>
      <c r="Y59" s="9"/>
      <c r="Z59" s="4"/>
      <c r="AA59" s="50"/>
    </row>
    <row r="60" spans="1:27" ht="36" hidden="1" customHeight="1" outlineLevel="1" x14ac:dyDescent="0.2">
      <c r="A60" s="51"/>
      <c r="B60" s="44"/>
      <c r="C60" s="52"/>
      <c r="D60" s="14"/>
      <c r="E60" s="136" t="s">
        <v>211</v>
      </c>
      <c r="F60" s="136"/>
      <c r="G60" s="136"/>
      <c r="H60" s="136"/>
      <c r="I60" s="15" t="s">
        <v>130</v>
      </c>
      <c r="J60" s="6" t="s">
        <v>124</v>
      </c>
      <c r="K60" s="6" t="s">
        <v>23</v>
      </c>
      <c r="L60" s="6" t="s">
        <v>11</v>
      </c>
      <c r="M60" s="19">
        <v>300</v>
      </c>
      <c r="N60" s="19"/>
      <c r="O60" s="19">
        <f t="shared" si="25"/>
        <v>300</v>
      </c>
      <c r="P60" s="33">
        <v>300</v>
      </c>
      <c r="Q60" s="33">
        <f>-50</f>
        <v>-50</v>
      </c>
      <c r="R60" s="33">
        <f t="shared" si="22"/>
        <v>250</v>
      </c>
      <c r="S60" s="33">
        <v>250</v>
      </c>
      <c r="T60" s="33"/>
      <c r="U60" s="33">
        <f t="shared" si="23"/>
        <v>250</v>
      </c>
      <c r="V60" s="33">
        <f t="shared" si="17"/>
        <v>250</v>
      </c>
      <c r="W60" s="33"/>
      <c r="X60" s="33">
        <f t="shared" si="24"/>
        <v>250</v>
      </c>
      <c r="Y60" s="9"/>
      <c r="Z60" s="4"/>
      <c r="AA60" s="50"/>
    </row>
    <row r="61" spans="1:27" ht="172.5" hidden="1" customHeight="1" outlineLevel="1" x14ac:dyDescent="0.2">
      <c r="A61" s="51"/>
      <c r="B61" s="44"/>
      <c r="C61" s="52"/>
      <c r="D61" s="14"/>
      <c r="E61" s="136" t="s">
        <v>212</v>
      </c>
      <c r="F61" s="136"/>
      <c r="G61" s="136"/>
      <c r="H61" s="136"/>
      <c r="I61" s="15" t="s">
        <v>129</v>
      </c>
      <c r="J61" s="6" t="s">
        <v>124</v>
      </c>
      <c r="K61" s="6" t="s">
        <v>23</v>
      </c>
      <c r="L61" s="6" t="s">
        <v>10</v>
      </c>
      <c r="M61" s="19">
        <v>1686.5</v>
      </c>
      <c r="N61" s="19"/>
      <c r="O61" s="19">
        <f t="shared" si="25"/>
        <v>1686.5</v>
      </c>
      <c r="P61" s="33">
        <v>1686.5</v>
      </c>
      <c r="Q61" s="33">
        <f>2500</f>
        <v>2500</v>
      </c>
      <c r="R61" s="33">
        <f t="shared" si="22"/>
        <v>4186.5</v>
      </c>
      <c r="S61" s="33">
        <v>4186.5</v>
      </c>
      <c r="T61" s="33">
        <f>1200+1000+140-4.7-80.2</f>
        <v>2255.1000000000004</v>
      </c>
      <c r="U61" s="33">
        <f t="shared" si="23"/>
        <v>6441.6</v>
      </c>
      <c r="V61" s="33">
        <f t="shared" si="17"/>
        <v>6441.6</v>
      </c>
      <c r="W61" s="33">
        <f>-0.4</f>
        <v>-0.4</v>
      </c>
      <c r="X61" s="33">
        <f>SUM(V61:W61)</f>
        <v>6441.2000000000007</v>
      </c>
      <c r="Y61" s="9" t="s">
        <v>393</v>
      </c>
      <c r="Z61" s="4"/>
      <c r="AA61" s="50"/>
    </row>
    <row r="62" spans="1:27" ht="162.75" hidden="1" customHeight="1" outlineLevel="1" x14ac:dyDescent="0.2">
      <c r="A62" s="51"/>
      <c r="B62" s="44"/>
      <c r="C62" s="52"/>
      <c r="D62" s="14"/>
      <c r="E62" s="136" t="s">
        <v>213</v>
      </c>
      <c r="F62" s="136"/>
      <c r="G62" s="136"/>
      <c r="H62" s="136"/>
      <c r="I62" s="15" t="s">
        <v>128</v>
      </c>
      <c r="J62" s="6" t="s">
        <v>124</v>
      </c>
      <c r="K62" s="6" t="s">
        <v>23</v>
      </c>
      <c r="L62" s="6" t="s">
        <v>7</v>
      </c>
      <c r="M62" s="19">
        <v>229052</v>
      </c>
      <c r="N62" s="19">
        <f>200+4811</f>
        <v>5011</v>
      </c>
      <c r="O62" s="19">
        <f t="shared" si="25"/>
        <v>234063</v>
      </c>
      <c r="P62" s="33">
        <v>234063</v>
      </c>
      <c r="Q62" s="33"/>
      <c r="R62" s="33">
        <f t="shared" si="22"/>
        <v>234063</v>
      </c>
      <c r="S62" s="33">
        <v>234063</v>
      </c>
      <c r="T62" s="33">
        <f>271.6+80.2-414+1353.8+2623.3+9336.7-1494.1-1000-671.5</f>
        <v>10086</v>
      </c>
      <c r="U62" s="33">
        <f t="shared" si="23"/>
        <v>244149</v>
      </c>
      <c r="V62" s="33">
        <f t="shared" si="17"/>
        <v>244149</v>
      </c>
      <c r="W62" s="33">
        <f>0.4</f>
        <v>0.4</v>
      </c>
      <c r="X62" s="33">
        <f t="shared" si="24"/>
        <v>244149.4</v>
      </c>
      <c r="Y62" s="9" t="s">
        <v>394</v>
      </c>
      <c r="Z62" s="4"/>
      <c r="AA62" s="50"/>
    </row>
    <row r="63" spans="1:27" ht="27.75" customHeight="1" collapsed="1" x14ac:dyDescent="0.2">
      <c r="A63" s="51"/>
      <c r="B63" s="44"/>
      <c r="C63" s="52"/>
      <c r="D63" s="137" t="s">
        <v>214</v>
      </c>
      <c r="E63" s="138"/>
      <c r="F63" s="138"/>
      <c r="G63" s="138"/>
      <c r="H63" s="138"/>
      <c r="I63" s="84" t="s">
        <v>127</v>
      </c>
      <c r="J63" s="85" t="s">
        <v>124</v>
      </c>
      <c r="K63" s="85" t="s">
        <v>18</v>
      </c>
      <c r="L63" s="85" t="s">
        <v>4</v>
      </c>
      <c r="M63" s="86">
        <f>M64+M65+M67</f>
        <v>8256.1</v>
      </c>
      <c r="N63" s="86">
        <f>N64+N65+N67</f>
        <v>0</v>
      </c>
      <c r="O63" s="86">
        <f>SUM(M63:N63)</f>
        <v>8256.1</v>
      </c>
      <c r="P63" s="87">
        <f>P64+P65+P66+P67</f>
        <v>8256.1</v>
      </c>
      <c r="Q63" s="87">
        <f>Q64+Q65+Q66+Q67</f>
        <v>198.89999999999998</v>
      </c>
      <c r="R63" s="87">
        <f t="shared" si="22"/>
        <v>8455</v>
      </c>
      <c r="S63" s="87">
        <f>S64+S65+S66+S67</f>
        <v>8455</v>
      </c>
      <c r="T63" s="87">
        <f>T64+T65+T66+T67</f>
        <v>543</v>
      </c>
      <c r="U63" s="87">
        <f t="shared" si="23"/>
        <v>8998</v>
      </c>
      <c r="V63" s="87">
        <f t="shared" si="17"/>
        <v>8998</v>
      </c>
      <c r="W63" s="87">
        <f>W64+W65+W66+W67</f>
        <v>0</v>
      </c>
      <c r="X63" s="87">
        <f t="shared" si="24"/>
        <v>8998</v>
      </c>
      <c r="Y63" s="88"/>
      <c r="Z63" s="4"/>
      <c r="AA63" s="50"/>
    </row>
    <row r="64" spans="1:27" ht="50.25" hidden="1" customHeight="1" outlineLevel="1" x14ac:dyDescent="0.2">
      <c r="A64" s="51"/>
      <c r="B64" s="44"/>
      <c r="C64" s="52"/>
      <c r="D64" s="14"/>
      <c r="E64" s="136" t="s">
        <v>215</v>
      </c>
      <c r="F64" s="136"/>
      <c r="G64" s="136"/>
      <c r="H64" s="136"/>
      <c r="I64" s="15" t="s">
        <v>126</v>
      </c>
      <c r="J64" s="6" t="s">
        <v>124</v>
      </c>
      <c r="K64" s="6" t="s">
        <v>18</v>
      </c>
      <c r="L64" s="6" t="s">
        <v>13</v>
      </c>
      <c r="M64" s="19">
        <v>4926.3999999999996</v>
      </c>
      <c r="N64" s="19"/>
      <c r="O64" s="19">
        <f t="shared" si="25"/>
        <v>4926.3999999999996</v>
      </c>
      <c r="P64" s="33">
        <v>4926.3999999999996</v>
      </c>
      <c r="Q64" s="33">
        <f>148.9+50</f>
        <v>198.9</v>
      </c>
      <c r="R64" s="33">
        <f t="shared" si="22"/>
        <v>5125.2999999999993</v>
      </c>
      <c r="S64" s="33">
        <v>5125.2999999999993</v>
      </c>
      <c r="T64" s="33">
        <f>150</f>
        <v>150</v>
      </c>
      <c r="U64" s="33">
        <f t="shared" si="23"/>
        <v>5275.2999999999993</v>
      </c>
      <c r="V64" s="33">
        <f t="shared" si="17"/>
        <v>5275.2999999999993</v>
      </c>
      <c r="W64" s="33">
        <f>-239.4-67.1</f>
        <v>-306.5</v>
      </c>
      <c r="X64" s="33">
        <f t="shared" si="24"/>
        <v>4968.7999999999993</v>
      </c>
      <c r="Y64" s="9" t="s">
        <v>391</v>
      </c>
      <c r="Z64" s="4"/>
      <c r="AA64" s="32"/>
    </row>
    <row r="65" spans="1:27" ht="78.75" hidden="1" customHeight="1" outlineLevel="1" x14ac:dyDescent="0.2">
      <c r="A65" s="51"/>
      <c r="B65" s="44"/>
      <c r="C65" s="52"/>
      <c r="D65" s="14"/>
      <c r="E65" s="136" t="s">
        <v>216</v>
      </c>
      <c r="F65" s="136"/>
      <c r="G65" s="136"/>
      <c r="H65" s="136"/>
      <c r="I65" s="15" t="s">
        <v>125</v>
      </c>
      <c r="J65" s="6" t="s">
        <v>124</v>
      </c>
      <c r="K65" s="6" t="s">
        <v>18</v>
      </c>
      <c r="L65" s="6" t="s">
        <v>26</v>
      </c>
      <c r="M65" s="19">
        <v>2292.5</v>
      </c>
      <c r="N65" s="19"/>
      <c r="O65" s="19">
        <f t="shared" si="25"/>
        <v>2292.5</v>
      </c>
      <c r="P65" s="33">
        <v>2292.5</v>
      </c>
      <c r="Q65" s="33"/>
      <c r="R65" s="33">
        <f t="shared" si="22"/>
        <v>2292.5</v>
      </c>
      <c r="S65" s="33">
        <v>2292.5</v>
      </c>
      <c r="T65" s="33">
        <f>230.5+100+62.5</f>
        <v>393</v>
      </c>
      <c r="U65" s="33">
        <f t="shared" si="23"/>
        <v>2685.5</v>
      </c>
      <c r="V65" s="33">
        <f t="shared" si="17"/>
        <v>2685.5</v>
      </c>
      <c r="W65" s="33">
        <f>239.4+67.1</f>
        <v>306.5</v>
      </c>
      <c r="X65" s="33">
        <f t="shared" si="24"/>
        <v>2992</v>
      </c>
      <c r="Y65" s="9" t="s">
        <v>392</v>
      </c>
      <c r="Z65" s="4"/>
      <c r="AA65" s="50"/>
    </row>
    <row r="66" spans="1:27" ht="46.5" hidden="1" customHeight="1" outlineLevel="1" x14ac:dyDescent="0.2">
      <c r="A66" s="51"/>
      <c r="B66" s="4"/>
      <c r="C66" s="54"/>
      <c r="D66" s="14"/>
      <c r="E66" s="136" t="s">
        <v>348</v>
      </c>
      <c r="F66" s="136"/>
      <c r="G66" s="136"/>
      <c r="H66" s="136"/>
      <c r="I66" s="15">
        <v>920400000</v>
      </c>
      <c r="J66" s="6" t="s">
        <v>124</v>
      </c>
      <c r="K66" s="6" t="s">
        <v>18</v>
      </c>
      <c r="L66" s="11" t="s">
        <v>10</v>
      </c>
      <c r="M66" s="19">
        <v>1037.2</v>
      </c>
      <c r="N66" s="19"/>
      <c r="O66" s="19">
        <f>SUM(M66:N66)</f>
        <v>1037.2</v>
      </c>
      <c r="P66" s="33">
        <v>1037.2</v>
      </c>
      <c r="Q66" s="33">
        <f>-1037.2</f>
        <v>-1037.2</v>
      </c>
      <c r="R66" s="33">
        <f t="shared" si="22"/>
        <v>0</v>
      </c>
      <c r="S66" s="33">
        <v>0</v>
      </c>
      <c r="T66" s="33"/>
      <c r="U66" s="33">
        <f t="shared" si="23"/>
        <v>0</v>
      </c>
      <c r="V66" s="33">
        <f t="shared" si="17"/>
        <v>0</v>
      </c>
      <c r="W66" s="33"/>
      <c r="X66" s="33">
        <f t="shared" si="24"/>
        <v>0</v>
      </c>
      <c r="Y66" s="9"/>
      <c r="Z66" s="4"/>
      <c r="AA66" s="50"/>
    </row>
    <row r="67" spans="1:27" ht="47.25" hidden="1" customHeight="1" outlineLevel="1" x14ac:dyDescent="0.2">
      <c r="A67" s="51"/>
      <c r="B67" s="4"/>
      <c r="C67" s="54"/>
      <c r="D67" s="14"/>
      <c r="E67" s="136" t="s">
        <v>357</v>
      </c>
      <c r="F67" s="136"/>
      <c r="G67" s="136"/>
      <c r="H67" s="136"/>
      <c r="I67" s="15">
        <v>920400000</v>
      </c>
      <c r="J67" s="6" t="s">
        <v>124</v>
      </c>
      <c r="K67" s="6" t="s">
        <v>18</v>
      </c>
      <c r="L67" s="11" t="s">
        <v>7</v>
      </c>
      <c r="M67" s="19">
        <v>1037.2</v>
      </c>
      <c r="N67" s="19"/>
      <c r="O67" s="19">
        <f t="shared" si="25"/>
        <v>1037.2</v>
      </c>
      <c r="P67" s="33">
        <v>0</v>
      </c>
      <c r="Q67" s="33">
        <f>1037.2</f>
        <v>1037.2</v>
      </c>
      <c r="R67" s="33">
        <f t="shared" si="22"/>
        <v>1037.2</v>
      </c>
      <c r="S67" s="33">
        <v>1037.2</v>
      </c>
      <c r="T67" s="33"/>
      <c r="U67" s="33">
        <f t="shared" si="23"/>
        <v>1037.2</v>
      </c>
      <c r="V67" s="33">
        <f t="shared" si="17"/>
        <v>1037.2</v>
      </c>
      <c r="W67" s="33"/>
      <c r="X67" s="33">
        <f t="shared" si="24"/>
        <v>1037.2</v>
      </c>
      <c r="Y67" s="9"/>
      <c r="Z67" s="4"/>
      <c r="AA67" s="50"/>
    </row>
    <row r="68" spans="1:27" ht="30.75" customHeight="1" collapsed="1" x14ac:dyDescent="0.2">
      <c r="A68" s="51"/>
      <c r="B68" s="4"/>
      <c r="C68" s="54"/>
      <c r="D68" s="14"/>
      <c r="E68" s="137" t="s">
        <v>378</v>
      </c>
      <c r="F68" s="138"/>
      <c r="G68" s="138"/>
      <c r="H68" s="138"/>
      <c r="I68" s="138"/>
      <c r="J68" s="85" t="s">
        <v>124</v>
      </c>
      <c r="K68" s="85">
        <v>3</v>
      </c>
      <c r="L68" s="89"/>
      <c r="M68" s="86"/>
      <c r="N68" s="86"/>
      <c r="O68" s="86"/>
      <c r="P68" s="87"/>
      <c r="Q68" s="87"/>
      <c r="R68" s="87"/>
      <c r="S68" s="87">
        <f>SUM(S69+S70)</f>
        <v>0</v>
      </c>
      <c r="T68" s="87"/>
      <c r="U68" s="87">
        <f t="shared" si="23"/>
        <v>0</v>
      </c>
      <c r="V68" s="87">
        <f t="shared" si="17"/>
        <v>0</v>
      </c>
      <c r="W68" s="87"/>
      <c r="X68" s="87">
        <f t="shared" si="24"/>
        <v>0</v>
      </c>
      <c r="Y68" s="88"/>
      <c r="Z68" s="4"/>
      <c r="AA68" s="50"/>
    </row>
    <row r="69" spans="1:27" ht="47.25" hidden="1" customHeight="1" outlineLevel="1" x14ac:dyDescent="0.2">
      <c r="A69" s="51"/>
      <c r="B69" s="4"/>
      <c r="C69" s="54"/>
      <c r="D69" s="14"/>
      <c r="E69" s="136" t="s">
        <v>376</v>
      </c>
      <c r="F69" s="136"/>
      <c r="G69" s="136"/>
      <c r="H69" s="136"/>
      <c r="I69" s="16"/>
      <c r="J69" s="7" t="s">
        <v>124</v>
      </c>
      <c r="K69" s="7">
        <v>3</v>
      </c>
      <c r="L69" s="7" t="s">
        <v>13</v>
      </c>
      <c r="M69" s="18"/>
      <c r="N69" s="18"/>
      <c r="O69" s="18"/>
      <c r="P69" s="34"/>
      <c r="Q69" s="34"/>
      <c r="R69" s="34"/>
      <c r="S69" s="34">
        <v>0</v>
      </c>
      <c r="T69" s="34"/>
      <c r="U69" s="34">
        <f t="shared" si="23"/>
        <v>0</v>
      </c>
      <c r="V69" s="34">
        <f t="shared" si="17"/>
        <v>0</v>
      </c>
      <c r="W69" s="34"/>
      <c r="X69" s="34">
        <f t="shared" si="24"/>
        <v>0</v>
      </c>
      <c r="Y69" s="106"/>
      <c r="Z69" s="4"/>
      <c r="AA69" s="50"/>
    </row>
    <row r="70" spans="1:27" ht="47.25" hidden="1" customHeight="1" outlineLevel="1" x14ac:dyDescent="0.2">
      <c r="A70" s="51"/>
      <c r="B70" s="4"/>
      <c r="C70" s="54"/>
      <c r="D70" s="14"/>
      <c r="E70" s="136" t="s">
        <v>377</v>
      </c>
      <c r="F70" s="136"/>
      <c r="G70" s="136"/>
      <c r="H70" s="136"/>
      <c r="I70" s="16"/>
      <c r="J70" s="7">
        <v>9</v>
      </c>
      <c r="K70" s="7">
        <v>3</v>
      </c>
      <c r="L70" s="107" t="s">
        <v>13</v>
      </c>
      <c r="M70" s="18"/>
      <c r="N70" s="18"/>
      <c r="O70" s="18"/>
      <c r="P70" s="34"/>
      <c r="Q70" s="34"/>
      <c r="R70" s="34"/>
      <c r="S70" s="34">
        <v>0</v>
      </c>
      <c r="T70" s="34"/>
      <c r="U70" s="34">
        <f t="shared" si="23"/>
        <v>0</v>
      </c>
      <c r="V70" s="34">
        <f t="shared" si="17"/>
        <v>0</v>
      </c>
      <c r="W70" s="34"/>
      <c r="X70" s="34">
        <f t="shared" si="24"/>
        <v>0</v>
      </c>
      <c r="Y70" s="106"/>
      <c r="Z70" s="4"/>
      <c r="AA70" s="50"/>
    </row>
    <row r="71" spans="1:27" ht="48.75" customHeight="1" collapsed="1" x14ac:dyDescent="0.2">
      <c r="A71" s="51"/>
      <c r="B71" s="4"/>
      <c r="C71" s="53"/>
      <c r="D71" s="140" t="s">
        <v>319</v>
      </c>
      <c r="E71" s="141"/>
      <c r="F71" s="141"/>
      <c r="G71" s="141"/>
      <c r="H71" s="142"/>
      <c r="I71" s="68" t="s">
        <v>123</v>
      </c>
      <c r="J71" s="69" t="s">
        <v>120</v>
      </c>
      <c r="K71" s="69" t="s">
        <v>4</v>
      </c>
      <c r="L71" s="69" t="s">
        <v>4</v>
      </c>
      <c r="M71" s="71">
        <f>M72+M73+M74</f>
        <v>51317.899999999994</v>
      </c>
      <c r="N71" s="71">
        <f>N72+N73+N74</f>
        <v>975</v>
      </c>
      <c r="O71" s="70">
        <f>SUM(M71:N71)</f>
        <v>52292.899999999994</v>
      </c>
      <c r="P71" s="73">
        <f>P72+P73+P74</f>
        <v>52292.899999999994</v>
      </c>
      <c r="Q71" s="73">
        <f>Q72+Q73+Q74</f>
        <v>7542.7999999999993</v>
      </c>
      <c r="R71" s="72">
        <f t="shared" si="22"/>
        <v>59835.7</v>
      </c>
      <c r="S71" s="73">
        <f>S72+S73+S74</f>
        <v>59835.7</v>
      </c>
      <c r="T71" s="73">
        <f>T72+T73+T74</f>
        <v>-6381.9</v>
      </c>
      <c r="U71" s="72">
        <f t="shared" si="23"/>
        <v>53453.799999999996</v>
      </c>
      <c r="V71" s="72">
        <f t="shared" si="17"/>
        <v>53453.799999999996</v>
      </c>
      <c r="W71" s="73">
        <f>W72+W73+W74</f>
        <v>-359.4</v>
      </c>
      <c r="X71" s="72">
        <f t="shared" si="24"/>
        <v>53094.399999999994</v>
      </c>
      <c r="Y71" s="74" t="s">
        <v>425</v>
      </c>
      <c r="Z71" s="4"/>
      <c r="AA71" s="50"/>
    </row>
    <row r="72" spans="1:27" ht="34.5" hidden="1" customHeight="1" outlineLevel="1" x14ac:dyDescent="0.2">
      <c r="A72" s="51"/>
      <c r="B72" s="44"/>
      <c r="C72" s="52"/>
      <c r="D72" s="14"/>
      <c r="E72" s="139" t="s">
        <v>217</v>
      </c>
      <c r="F72" s="136"/>
      <c r="G72" s="136"/>
      <c r="H72" s="136"/>
      <c r="I72" s="15" t="s">
        <v>122</v>
      </c>
      <c r="J72" s="6" t="s">
        <v>120</v>
      </c>
      <c r="K72" s="6" t="s">
        <v>2</v>
      </c>
      <c r="L72" s="6" t="s">
        <v>13</v>
      </c>
      <c r="M72" s="19">
        <v>40861.199999999997</v>
      </c>
      <c r="N72" s="19"/>
      <c r="O72" s="19">
        <f t="shared" si="25"/>
        <v>40861.199999999997</v>
      </c>
      <c r="P72" s="33">
        <v>40861.199999999997</v>
      </c>
      <c r="Q72" s="33"/>
      <c r="R72" s="33">
        <f t="shared" si="22"/>
        <v>40861.199999999997</v>
      </c>
      <c r="S72" s="33">
        <v>40861.199999999997</v>
      </c>
      <c r="T72" s="33">
        <f>220-200-9318.5-50+1016-216</f>
        <v>-8548.5</v>
      </c>
      <c r="U72" s="33">
        <f t="shared" si="23"/>
        <v>32312.699999999997</v>
      </c>
      <c r="V72" s="33">
        <f t="shared" si="17"/>
        <v>32312.699999999997</v>
      </c>
      <c r="W72" s="33">
        <v>-172</v>
      </c>
      <c r="X72" s="33">
        <f t="shared" si="24"/>
        <v>32140.699999999997</v>
      </c>
      <c r="Y72" s="9" t="s">
        <v>401</v>
      </c>
      <c r="Z72" s="4"/>
      <c r="AA72" s="50"/>
    </row>
    <row r="73" spans="1:27" ht="34.5" hidden="1" customHeight="1" outlineLevel="1" x14ac:dyDescent="0.2">
      <c r="A73" s="51"/>
      <c r="B73" s="44"/>
      <c r="C73" s="52"/>
      <c r="D73" s="14"/>
      <c r="E73" s="136" t="s">
        <v>218</v>
      </c>
      <c r="F73" s="136"/>
      <c r="G73" s="136"/>
      <c r="H73" s="136"/>
      <c r="I73" s="15" t="s">
        <v>121</v>
      </c>
      <c r="J73" s="6">
        <v>10</v>
      </c>
      <c r="K73" s="6" t="s">
        <v>2</v>
      </c>
      <c r="L73" s="6" t="s">
        <v>11</v>
      </c>
      <c r="M73" s="19">
        <v>9456.7000000000007</v>
      </c>
      <c r="N73" s="19">
        <f>-25+2000-35.5</f>
        <v>1939.5</v>
      </c>
      <c r="O73" s="19">
        <f t="shared" si="25"/>
        <v>11396.2</v>
      </c>
      <c r="P73" s="33">
        <v>11396.2</v>
      </c>
      <c r="Q73" s="33">
        <f>-22.6+7441-875.6</f>
        <v>6542.7999999999993</v>
      </c>
      <c r="R73" s="33">
        <f t="shared" si="22"/>
        <v>17939</v>
      </c>
      <c r="S73" s="33">
        <v>17939</v>
      </c>
      <c r="T73" s="33">
        <f>600-1268-220-1300-38-259.2-12-30+4295+350-5.5-0.1-350</f>
        <v>1762.2000000000003</v>
      </c>
      <c r="U73" s="33">
        <f t="shared" si="23"/>
        <v>19701.2</v>
      </c>
      <c r="V73" s="33">
        <f t="shared" ref="V73:V104" si="26">SUM(S73:T73)</f>
        <v>19701.2</v>
      </c>
      <c r="W73" s="33">
        <f>-111.4-76</f>
        <v>-187.4</v>
      </c>
      <c r="X73" s="33">
        <f t="shared" si="24"/>
        <v>19513.8</v>
      </c>
      <c r="Y73" s="9" t="s">
        <v>419</v>
      </c>
      <c r="Z73" s="4"/>
      <c r="AA73" s="50"/>
    </row>
    <row r="74" spans="1:27" ht="132.75" hidden="1" customHeight="1" outlineLevel="1" x14ac:dyDescent="0.2">
      <c r="A74" s="51"/>
      <c r="B74" s="44"/>
      <c r="C74" s="52"/>
      <c r="D74" s="14"/>
      <c r="E74" s="139" t="s">
        <v>219</v>
      </c>
      <c r="F74" s="136"/>
      <c r="G74" s="136"/>
      <c r="H74" s="136"/>
      <c r="I74" s="15" t="s">
        <v>119</v>
      </c>
      <c r="J74" s="6" t="s">
        <v>120</v>
      </c>
      <c r="K74" s="6" t="s">
        <v>2</v>
      </c>
      <c r="L74" s="6" t="s">
        <v>26</v>
      </c>
      <c r="M74" s="19">
        <v>1000</v>
      </c>
      <c r="N74" s="19">
        <f>-1000+35.5</f>
        <v>-964.5</v>
      </c>
      <c r="O74" s="19">
        <f t="shared" si="25"/>
        <v>35.5</v>
      </c>
      <c r="P74" s="33">
        <v>35.5</v>
      </c>
      <c r="Q74" s="33">
        <v>1000</v>
      </c>
      <c r="R74" s="33">
        <f t="shared" si="22"/>
        <v>1035.5</v>
      </c>
      <c r="S74" s="33">
        <v>1035.5</v>
      </c>
      <c r="T74" s="33">
        <f>278.1-51.8-47.3+225.4</f>
        <v>404.4</v>
      </c>
      <c r="U74" s="33">
        <f t="shared" si="23"/>
        <v>1439.9</v>
      </c>
      <c r="V74" s="33">
        <f t="shared" si="26"/>
        <v>1439.9</v>
      </c>
      <c r="W74" s="33"/>
      <c r="X74" s="33">
        <f t="shared" si="24"/>
        <v>1439.9</v>
      </c>
      <c r="Y74" s="9"/>
      <c r="Z74" s="4"/>
      <c r="AA74" s="50"/>
    </row>
    <row r="75" spans="1:27" ht="33.75" customHeight="1" collapsed="1" x14ac:dyDescent="0.2">
      <c r="A75" s="51"/>
      <c r="B75" s="4"/>
      <c r="C75" s="53"/>
      <c r="D75" s="140" t="s">
        <v>320</v>
      </c>
      <c r="E75" s="141"/>
      <c r="F75" s="141"/>
      <c r="G75" s="141"/>
      <c r="H75" s="142"/>
      <c r="I75" s="68" t="s">
        <v>118</v>
      </c>
      <c r="J75" s="69" t="s">
        <v>108</v>
      </c>
      <c r="K75" s="69" t="s">
        <v>4</v>
      </c>
      <c r="L75" s="69" t="s">
        <v>4</v>
      </c>
      <c r="M75" s="71">
        <f>SUM(M76+M78+M81+M86)</f>
        <v>743667.29999999993</v>
      </c>
      <c r="N75" s="71">
        <f>SUM(N76+N78+N81+N86)</f>
        <v>2835.4</v>
      </c>
      <c r="O75" s="70">
        <f>SUM(M75:N75)</f>
        <v>746502.7</v>
      </c>
      <c r="P75" s="73">
        <f>SUM(P76+P78+P81+P86)</f>
        <v>746502.7</v>
      </c>
      <c r="Q75" s="73">
        <f>SUM(Q76+Q78+Q81+Q86)</f>
        <v>84405.000000000029</v>
      </c>
      <c r="R75" s="72">
        <f t="shared" si="22"/>
        <v>830907.7</v>
      </c>
      <c r="S75" s="73">
        <f>SUM(S76+S78+S81+S86)</f>
        <v>830907.70000000007</v>
      </c>
      <c r="T75" s="73">
        <f>SUM(T76+T78+T81+T86)</f>
        <v>24831</v>
      </c>
      <c r="U75" s="72">
        <f t="shared" si="23"/>
        <v>855738.70000000007</v>
      </c>
      <c r="V75" s="72">
        <f t="shared" si="26"/>
        <v>855738.70000000007</v>
      </c>
      <c r="W75" s="73">
        <f>SUM(W76+W78+W81+W86)</f>
        <v>-112.6</v>
      </c>
      <c r="X75" s="72">
        <f t="shared" si="24"/>
        <v>855626.10000000009</v>
      </c>
      <c r="Y75" s="75"/>
      <c r="Z75" s="4"/>
      <c r="AA75" s="50"/>
    </row>
    <row r="76" spans="1:27" ht="22.5" customHeight="1" x14ac:dyDescent="0.2">
      <c r="A76" s="51"/>
      <c r="B76" s="44"/>
      <c r="C76" s="52"/>
      <c r="D76" s="143" t="s">
        <v>220</v>
      </c>
      <c r="E76" s="138"/>
      <c r="F76" s="138"/>
      <c r="G76" s="138"/>
      <c r="H76" s="138"/>
      <c r="I76" s="84" t="s">
        <v>117</v>
      </c>
      <c r="J76" s="85" t="s">
        <v>108</v>
      </c>
      <c r="K76" s="85" t="s">
        <v>23</v>
      </c>
      <c r="L76" s="85" t="s">
        <v>4</v>
      </c>
      <c r="M76" s="86">
        <f>M77</f>
        <v>1606.2</v>
      </c>
      <c r="N76" s="86">
        <f>N77</f>
        <v>0</v>
      </c>
      <c r="O76" s="86">
        <f>SUM(M76:N76)</f>
        <v>1606.2</v>
      </c>
      <c r="P76" s="87">
        <f>P77</f>
        <v>1606.2</v>
      </c>
      <c r="Q76" s="87">
        <f>Q77</f>
        <v>47.6</v>
      </c>
      <c r="R76" s="87">
        <f t="shared" si="22"/>
        <v>1653.8</v>
      </c>
      <c r="S76" s="87">
        <f>S77</f>
        <v>1653.8</v>
      </c>
      <c r="T76" s="87">
        <f>T77</f>
        <v>1984.6</v>
      </c>
      <c r="U76" s="87">
        <f t="shared" si="23"/>
        <v>3638.3999999999996</v>
      </c>
      <c r="V76" s="87">
        <f t="shared" si="26"/>
        <v>3638.3999999999996</v>
      </c>
      <c r="W76" s="87">
        <f>W77</f>
        <v>0</v>
      </c>
      <c r="X76" s="87">
        <f t="shared" si="24"/>
        <v>3638.3999999999996</v>
      </c>
      <c r="Y76" s="91"/>
      <c r="Z76" s="4"/>
      <c r="AA76" s="50"/>
    </row>
    <row r="77" spans="1:27" ht="65.25" hidden="1" customHeight="1" outlineLevel="1" x14ac:dyDescent="0.2">
      <c r="A77" s="51"/>
      <c r="B77" s="44"/>
      <c r="C77" s="52"/>
      <c r="D77" s="104"/>
      <c r="E77" s="146" t="s">
        <v>292</v>
      </c>
      <c r="F77" s="146"/>
      <c r="G77" s="146"/>
      <c r="H77" s="146"/>
      <c r="I77" s="15"/>
      <c r="J77" s="8" t="s">
        <v>108</v>
      </c>
      <c r="K77" s="8" t="s">
        <v>23</v>
      </c>
      <c r="L77" s="8" t="s">
        <v>13</v>
      </c>
      <c r="M77" s="19">
        <v>1606.2</v>
      </c>
      <c r="N77" s="19"/>
      <c r="O77" s="19">
        <f>SUM(M77:N77)</f>
        <v>1606.2</v>
      </c>
      <c r="P77" s="33">
        <v>1606.2</v>
      </c>
      <c r="Q77" s="33">
        <f>22.6+25</f>
        <v>47.6</v>
      </c>
      <c r="R77" s="33">
        <f t="shared" si="22"/>
        <v>1653.8</v>
      </c>
      <c r="S77" s="33">
        <v>1653.8</v>
      </c>
      <c r="T77" s="33">
        <f>1905.5+77.1+2</f>
        <v>1984.6</v>
      </c>
      <c r="U77" s="33">
        <f t="shared" si="23"/>
        <v>3638.3999999999996</v>
      </c>
      <c r="V77" s="33">
        <f t="shared" si="26"/>
        <v>3638.3999999999996</v>
      </c>
      <c r="W77" s="33"/>
      <c r="X77" s="33">
        <f t="shared" si="24"/>
        <v>3638.3999999999996</v>
      </c>
      <c r="Y77" s="22"/>
      <c r="Z77" s="4"/>
      <c r="AA77" s="50"/>
    </row>
    <row r="78" spans="1:27" ht="31.5" customHeight="1" collapsed="1" x14ac:dyDescent="0.2">
      <c r="A78" s="51"/>
      <c r="B78" s="44"/>
      <c r="C78" s="52"/>
      <c r="D78" s="143" t="s">
        <v>221</v>
      </c>
      <c r="E78" s="138"/>
      <c r="F78" s="138"/>
      <c r="G78" s="138"/>
      <c r="H78" s="138"/>
      <c r="I78" s="84" t="s">
        <v>116</v>
      </c>
      <c r="J78" s="85" t="s">
        <v>108</v>
      </c>
      <c r="K78" s="85" t="s">
        <v>18</v>
      </c>
      <c r="L78" s="85" t="s">
        <v>4</v>
      </c>
      <c r="M78" s="86">
        <f>M79+M80</f>
        <v>37777.9</v>
      </c>
      <c r="N78" s="86">
        <f>N79+N80</f>
        <v>2835.4</v>
      </c>
      <c r="O78" s="86">
        <f>SUM(M78:N78)</f>
        <v>40613.300000000003</v>
      </c>
      <c r="P78" s="87">
        <f>P79+P80</f>
        <v>40613.299999999996</v>
      </c>
      <c r="Q78" s="87">
        <f>Q79+Q80</f>
        <v>13609.5</v>
      </c>
      <c r="R78" s="87">
        <f t="shared" si="22"/>
        <v>54222.799999999996</v>
      </c>
      <c r="S78" s="87">
        <f>S79+S80</f>
        <v>54222.799999999996</v>
      </c>
      <c r="T78" s="87">
        <f>T79+T80</f>
        <v>23085.8</v>
      </c>
      <c r="U78" s="87">
        <f t="shared" si="23"/>
        <v>77308.599999999991</v>
      </c>
      <c r="V78" s="87">
        <f t="shared" si="26"/>
        <v>77308.599999999991</v>
      </c>
      <c r="W78" s="87">
        <f>W79+W80</f>
        <v>0</v>
      </c>
      <c r="X78" s="87">
        <f t="shared" si="24"/>
        <v>77308.599999999991</v>
      </c>
      <c r="Y78" s="88"/>
      <c r="Z78" s="4"/>
      <c r="AA78" s="50"/>
    </row>
    <row r="79" spans="1:27" ht="51.75" hidden="1" customHeight="1" outlineLevel="1" x14ac:dyDescent="0.2">
      <c r="A79" s="51"/>
      <c r="B79" s="44"/>
      <c r="C79" s="52"/>
      <c r="D79" s="14"/>
      <c r="E79" s="139" t="s">
        <v>222</v>
      </c>
      <c r="F79" s="136"/>
      <c r="G79" s="136"/>
      <c r="H79" s="136"/>
      <c r="I79" s="15" t="s">
        <v>115</v>
      </c>
      <c r="J79" s="6" t="s">
        <v>108</v>
      </c>
      <c r="K79" s="6" t="s">
        <v>18</v>
      </c>
      <c r="L79" s="6" t="s">
        <v>13</v>
      </c>
      <c r="M79" s="19">
        <v>37767.800000000003</v>
      </c>
      <c r="N79" s="19">
        <v>2835.4</v>
      </c>
      <c r="O79" s="19">
        <f t="shared" ref="O79:O92" si="27">SUM(M79:N79)</f>
        <v>40603.200000000004</v>
      </c>
      <c r="P79" s="33">
        <v>40603.199999999997</v>
      </c>
      <c r="Q79" s="33">
        <v>13609.5</v>
      </c>
      <c r="R79" s="33">
        <f t="shared" si="22"/>
        <v>54212.7</v>
      </c>
      <c r="S79" s="33">
        <v>54212.7</v>
      </c>
      <c r="T79" s="33">
        <v>23085.8</v>
      </c>
      <c r="U79" s="33">
        <f t="shared" si="23"/>
        <v>77298.5</v>
      </c>
      <c r="V79" s="33">
        <f t="shared" si="26"/>
        <v>77298.5</v>
      </c>
      <c r="W79" s="33"/>
      <c r="X79" s="33">
        <f t="shared" si="24"/>
        <v>77298.5</v>
      </c>
      <c r="Y79" s="9"/>
      <c r="Z79" s="4"/>
      <c r="AA79" s="50"/>
    </row>
    <row r="80" spans="1:27" ht="84" hidden="1" customHeight="1" outlineLevel="1" x14ac:dyDescent="0.2">
      <c r="A80" s="51"/>
      <c r="B80" s="44"/>
      <c r="C80" s="52"/>
      <c r="D80" s="14"/>
      <c r="E80" s="139" t="s">
        <v>223</v>
      </c>
      <c r="F80" s="136"/>
      <c r="G80" s="136"/>
      <c r="H80" s="136"/>
      <c r="I80" s="15" t="s">
        <v>114</v>
      </c>
      <c r="J80" s="6" t="s">
        <v>108</v>
      </c>
      <c r="K80" s="6" t="s">
        <v>18</v>
      </c>
      <c r="L80" s="6" t="s">
        <v>11</v>
      </c>
      <c r="M80" s="19">
        <v>10.1</v>
      </c>
      <c r="N80" s="19"/>
      <c r="O80" s="19">
        <f t="shared" si="27"/>
        <v>10.1</v>
      </c>
      <c r="P80" s="33">
        <v>10.1</v>
      </c>
      <c r="Q80" s="33"/>
      <c r="R80" s="33">
        <f t="shared" si="22"/>
        <v>10.1</v>
      </c>
      <c r="S80" s="33">
        <v>10.1</v>
      </c>
      <c r="T80" s="33"/>
      <c r="U80" s="33">
        <f t="shared" si="23"/>
        <v>10.1</v>
      </c>
      <c r="V80" s="33">
        <f t="shared" si="26"/>
        <v>10.1</v>
      </c>
      <c r="W80" s="33"/>
      <c r="X80" s="33">
        <f t="shared" si="24"/>
        <v>10.1</v>
      </c>
      <c r="Y80" s="9"/>
      <c r="Z80" s="4"/>
      <c r="AA80" s="50"/>
    </row>
    <row r="81" spans="1:28" ht="36.75" customHeight="1" collapsed="1" x14ac:dyDescent="0.2">
      <c r="A81" s="51"/>
      <c r="B81" s="44"/>
      <c r="C81" s="52"/>
      <c r="D81" s="137" t="s">
        <v>330</v>
      </c>
      <c r="E81" s="138"/>
      <c r="F81" s="138"/>
      <c r="G81" s="138"/>
      <c r="H81" s="138"/>
      <c r="I81" s="84" t="s">
        <v>113</v>
      </c>
      <c r="J81" s="85" t="s">
        <v>108</v>
      </c>
      <c r="K81" s="85" t="s">
        <v>27</v>
      </c>
      <c r="L81" s="85" t="s">
        <v>4</v>
      </c>
      <c r="M81" s="86">
        <f>M82+M84+M85</f>
        <v>704121.89999999991</v>
      </c>
      <c r="N81" s="86">
        <f>N82+N84+N85</f>
        <v>0</v>
      </c>
      <c r="O81" s="86">
        <f>SUM(M81:N81)</f>
        <v>704121.89999999991</v>
      </c>
      <c r="P81" s="87">
        <f>P82+P84+P85</f>
        <v>704121.89999999991</v>
      </c>
      <c r="Q81" s="87">
        <f>Q82+Q84+Q85</f>
        <v>70747.900000000023</v>
      </c>
      <c r="R81" s="87">
        <f t="shared" si="22"/>
        <v>774869.79999999993</v>
      </c>
      <c r="S81" s="87">
        <f>S82+S84+S85+S83</f>
        <v>774869.8</v>
      </c>
      <c r="T81" s="87">
        <f>T82+T84+T85+T83</f>
        <v>-237.09999999999991</v>
      </c>
      <c r="U81" s="87">
        <f t="shared" si="23"/>
        <v>774632.70000000007</v>
      </c>
      <c r="V81" s="87">
        <f t="shared" si="26"/>
        <v>774632.70000000007</v>
      </c>
      <c r="W81" s="87">
        <f>W82+W84+W85+W83</f>
        <v>-112.6</v>
      </c>
      <c r="X81" s="87">
        <f t="shared" si="24"/>
        <v>774520.10000000009</v>
      </c>
      <c r="Y81" s="92" t="s">
        <v>420</v>
      </c>
      <c r="Z81" s="4"/>
      <c r="AA81" s="50"/>
    </row>
    <row r="82" spans="1:28" ht="22.5" hidden="1" outlineLevel="1" x14ac:dyDescent="0.2">
      <c r="A82" s="51"/>
      <c r="B82" s="44"/>
      <c r="C82" s="52"/>
      <c r="D82" s="14"/>
      <c r="E82" s="136" t="s">
        <v>224</v>
      </c>
      <c r="F82" s="136"/>
      <c r="G82" s="136"/>
      <c r="H82" s="136"/>
      <c r="I82" s="15" t="s">
        <v>112</v>
      </c>
      <c r="J82" s="6" t="s">
        <v>108</v>
      </c>
      <c r="K82" s="6" t="s">
        <v>27</v>
      </c>
      <c r="L82" s="6" t="s">
        <v>13</v>
      </c>
      <c r="M82" s="19">
        <v>77891.899999999994</v>
      </c>
      <c r="N82" s="19"/>
      <c r="O82" s="19">
        <f t="shared" si="27"/>
        <v>77891.899999999994</v>
      </c>
      <c r="P82" s="33">
        <v>77891.899999999994</v>
      </c>
      <c r="Q82" s="33">
        <v>-25</v>
      </c>
      <c r="R82" s="33">
        <f t="shared" ref="R82:R87" si="28">SUM(P82:Q82)</f>
        <v>77866.899999999994</v>
      </c>
      <c r="S82" s="33">
        <v>77866.899999999994</v>
      </c>
      <c r="T82" s="33">
        <f>-500.7-264.7+4868.7+3123.2-4868.7</f>
        <v>2357.8000000000002</v>
      </c>
      <c r="U82" s="33">
        <f t="shared" si="23"/>
        <v>80224.7</v>
      </c>
      <c r="V82" s="33">
        <f t="shared" si="26"/>
        <v>80224.7</v>
      </c>
      <c r="W82" s="33">
        <v>-112.6</v>
      </c>
      <c r="X82" s="33">
        <f t="shared" si="24"/>
        <v>80112.099999999991</v>
      </c>
      <c r="Y82" s="9" t="s">
        <v>420</v>
      </c>
      <c r="Z82" s="4"/>
      <c r="AA82" s="50"/>
    </row>
    <row r="83" spans="1:28" ht="24.75" hidden="1" customHeight="1" outlineLevel="1" x14ac:dyDescent="0.2">
      <c r="A83" s="51"/>
      <c r="B83" s="44"/>
      <c r="C83" s="52"/>
      <c r="D83" s="14"/>
      <c r="E83" s="189" t="s">
        <v>371</v>
      </c>
      <c r="F83" s="147"/>
      <c r="G83" s="147"/>
      <c r="H83" s="148"/>
      <c r="I83" s="15"/>
      <c r="J83" s="6">
        <v>11</v>
      </c>
      <c r="K83" s="6">
        <v>3</v>
      </c>
      <c r="L83" s="6">
        <v>2</v>
      </c>
      <c r="M83" s="19"/>
      <c r="N83" s="19"/>
      <c r="O83" s="19"/>
      <c r="P83" s="33"/>
      <c r="Q83" s="33"/>
      <c r="R83" s="33"/>
      <c r="S83" s="33">
        <v>0</v>
      </c>
      <c r="T83" s="33">
        <v>526</v>
      </c>
      <c r="U83" s="33">
        <f>S83+T83</f>
        <v>526</v>
      </c>
      <c r="V83" s="33">
        <f t="shared" si="26"/>
        <v>526</v>
      </c>
      <c r="W83" s="33"/>
      <c r="X83" s="33">
        <f>V83+W83</f>
        <v>526</v>
      </c>
      <c r="Y83" s="9"/>
      <c r="Z83" s="4"/>
      <c r="AA83" s="50"/>
    </row>
    <row r="84" spans="1:28" ht="21" hidden="1" customHeight="1" outlineLevel="1" x14ac:dyDescent="0.2">
      <c r="A84" s="51"/>
      <c r="B84" s="44"/>
      <c r="C84" s="52"/>
      <c r="D84" s="14"/>
      <c r="E84" s="139" t="s">
        <v>225</v>
      </c>
      <c r="F84" s="136"/>
      <c r="G84" s="136"/>
      <c r="H84" s="136"/>
      <c r="I84" s="15" t="s">
        <v>111</v>
      </c>
      <c r="J84" s="6" t="s">
        <v>108</v>
      </c>
      <c r="K84" s="6" t="s">
        <v>27</v>
      </c>
      <c r="L84" s="6" t="s">
        <v>26</v>
      </c>
      <c r="M84" s="19">
        <v>16586.900000000001</v>
      </c>
      <c r="N84" s="19"/>
      <c r="O84" s="19">
        <f t="shared" si="27"/>
        <v>16586.900000000001</v>
      </c>
      <c r="P84" s="33">
        <v>16586.900000000001</v>
      </c>
      <c r="Q84" s="33"/>
      <c r="R84" s="33">
        <f t="shared" si="28"/>
        <v>16586.900000000001</v>
      </c>
      <c r="S84" s="33">
        <v>16586.900000000001</v>
      </c>
      <c r="T84" s="33">
        <v>-3120.9</v>
      </c>
      <c r="U84" s="33">
        <f t="shared" ref="U84:U98" si="29">SUM(S84:T84)</f>
        <v>13466.000000000002</v>
      </c>
      <c r="V84" s="33">
        <f t="shared" si="26"/>
        <v>13466.000000000002</v>
      </c>
      <c r="W84" s="33"/>
      <c r="X84" s="33">
        <f t="shared" ref="X84:X98" si="30">SUM(V84:W84)</f>
        <v>13466.000000000002</v>
      </c>
      <c r="Y84" s="9"/>
      <c r="Z84" s="4"/>
      <c r="AA84" s="50"/>
    </row>
    <row r="85" spans="1:28" ht="20.25" hidden="1" customHeight="1" outlineLevel="1" x14ac:dyDescent="0.2">
      <c r="A85" s="51"/>
      <c r="B85" s="44"/>
      <c r="C85" s="52"/>
      <c r="D85" s="14"/>
      <c r="E85" s="167" t="s">
        <v>226</v>
      </c>
      <c r="F85" s="168"/>
      <c r="G85" s="168"/>
      <c r="H85" s="169"/>
      <c r="I85" s="15" t="s">
        <v>110</v>
      </c>
      <c r="J85" s="6" t="s">
        <v>108</v>
      </c>
      <c r="K85" s="6" t="s">
        <v>27</v>
      </c>
      <c r="L85" s="6" t="s">
        <v>109</v>
      </c>
      <c r="M85" s="19">
        <v>609643.1</v>
      </c>
      <c r="N85" s="19"/>
      <c r="O85" s="19">
        <f t="shared" si="27"/>
        <v>609643.1</v>
      </c>
      <c r="P85" s="33">
        <v>609643.1</v>
      </c>
      <c r="Q85" s="33">
        <f>223134.2-157315.4+4954.1</f>
        <v>70772.900000000023</v>
      </c>
      <c r="R85" s="33">
        <f t="shared" si="28"/>
        <v>680416</v>
      </c>
      <c r="S85" s="33">
        <v>680416</v>
      </c>
      <c r="T85" s="33"/>
      <c r="U85" s="33">
        <f t="shared" si="29"/>
        <v>680416</v>
      </c>
      <c r="V85" s="33">
        <f t="shared" si="26"/>
        <v>680416</v>
      </c>
      <c r="W85" s="33"/>
      <c r="X85" s="33">
        <f t="shared" si="30"/>
        <v>680416</v>
      </c>
      <c r="Y85" s="23"/>
      <c r="Z85" s="4"/>
      <c r="AA85" s="50"/>
    </row>
    <row r="86" spans="1:28" ht="36.75" customHeight="1" collapsed="1" x14ac:dyDescent="0.2">
      <c r="A86" s="51"/>
      <c r="B86" s="44"/>
      <c r="C86" s="52"/>
      <c r="D86" s="137" t="s">
        <v>336</v>
      </c>
      <c r="E86" s="138"/>
      <c r="F86" s="138"/>
      <c r="G86" s="138"/>
      <c r="H86" s="138"/>
      <c r="I86" s="84" t="s">
        <v>107</v>
      </c>
      <c r="J86" s="85" t="s">
        <v>108</v>
      </c>
      <c r="K86" s="85" t="s">
        <v>40</v>
      </c>
      <c r="L86" s="85" t="s">
        <v>4</v>
      </c>
      <c r="M86" s="86">
        <f>SUM(M87)</f>
        <v>161.30000000000001</v>
      </c>
      <c r="N86" s="86">
        <f>SUM(N87)</f>
        <v>0</v>
      </c>
      <c r="O86" s="86">
        <f t="shared" si="27"/>
        <v>161.30000000000001</v>
      </c>
      <c r="P86" s="87">
        <f>SUM(P87)</f>
        <v>161.30000000000001</v>
      </c>
      <c r="Q86" s="87">
        <f>SUM(Q87)</f>
        <v>0</v>
      </c>
      <c r="R86" s="87">
        <f t="shared" si="28"/>
        <v>161.30000000000001</v>
      </c>
      <c r="S86" s="87">
        <f>SUM(S87)</f>
        <v>161.30000000000001</v>
      </c>
      <c r="T86" s="87">
        <f>SUM(T87)</f>
        <v>-2.2999999999999998</v>
      </c>
      <c r="U86" s="87">
        <f t="shared" si="29"/>
        <v>159</v>
      </c>
      <c r="V86" s="87">
        <f t="shared" si="26"/>
        <v>159</v>
      </c>
      <c r="W86" s="87">
        <f>SUM(W87)</f>
        <v>0</v>
      </c>
      <c r="X86" s="87">
        <f t="shared" si="30"/>
        <v>159</v>
      </c>
      <c r="Y86" s="88"/>
      <c r="Z86" s="4"/>
      <c r="AA86" s="50"/>
    </row>
    <row r="87" spans="1:28" ht="54" hidden="1" customHeight="1" outlineLevel="1" x14ac:dyDescent="0.2">
      <c r="A87" s="51"/>
      <c r="B87" s="44"/>
      <c r="C87" s="52"/>
      <c r="D87" s="14"/>
      <c r="E87" s="139" t="s">
        <v>227</v>
      </c>
      <c r="F87" s="136"/>
      <c r="G87" s="136"/>
      <c r="H87" s="136"/>
      <c r="I87" s="15" t="s">
        <v>107</v>
      </c>
      <c r="J87" s="6" t="s">
        <v>108</v>
      </c>
      <c r="K87" s="6" t="s">
        <v>40</v>
      </c>
      <c r="L87" s="6" t="s">
        <v>13</v>
      </c>
      <c r="M87" s="19">
        <v>161.30000000000001</v>
      </c>
      <c r="N87" s="19"/>
      <c r="O87" s="19">
        <f t="shared" si="27"/>
        <v>161.30000000000001</v>
      </c>
      <c r="P87" s="33">
        <v>161.30000000000001</v>
      </c>
      <c r="Q87" s="33"/>
      <c r="R87" s="33">
        <f t="shared" si="28"/>
        <v>161.30000000000001</v>
      </c>
      <c r="S87" s="33">
        <v>161.30000000000001</v>
      </c>
      <c r="T87" s="33">
        <v>-2.2999999999999998</v>
      </c>
      <c r="U87" s="33">
        <f t="shared" si="29"/>
        <v>159</v>
      </c>
      <c r="V87" s="33">
        <f t="shared" si="26"/>
        <v>159</v>
      </c>
      <c r="W87" s="33"/>
      <c r="X87" s="33">
        <f t="shared" si="30"/>
        <v>159</v>
      </c>
      <c r="Y87" s="23"/>
      <c r="Z87" s="4"/>
      <c r="AA87" s="50"/>
    </row>
    <row r="88" spans="1:28" ht="45.75" customHeight="1" collapsed="1" x14ac:dyDescent="0.2">
      <c r="A88" s="51"/>
      <c r="B88" s="4"/>
      <c r="C88" s="53"/>
      <c r="D88" s="140" t="s">
        <v>311</v>
      </c>
      <c r="E88" s="141"/>
      <c r="F88" s="141"/>
      <c r="G88" s="141"/>
      <c r="H88" s="142"/>
      <c r="I88" s="68" t="s">
        <v>106</v>
      </c>
      <c r="J88" s="69" t="s">
        <v>103</v>
      </c>
      <c r="K88" s="69" t="s">
        <v>4</v>
      </c>
      <c r="L88" s="69" t="s">
        <v>4</v>
      </c>
      <c r="M88" s="71">
        <f>M89+M90+M92+M91</f>
        <v>31782.6</v>
      </c>
      <c r="N88" s="71">
        <f>N89+N90+N92+N91</f>
        <v>0</v>
      </c>
      <c r="O88" s="70">
        <f>SUM(M88:N88)</f>
        <v>31782.6</v>
      </c>
      <c r="P88" s="73">
        <f>P89+P90+P92+P91</f>
        <v>31782.6</v>
      </c>
      <c r="Q88" s="73">
        <f>Q89+Q90+Q92+Q91</f>
        <v>250</v>
      </c>
      <c r="R88" s="72">
        <f t="shared" ref="R88:R98" si="31">SUM(P88:Q88)</f>
        <v>32032.6</v>
      </c>
      <c r="S88" s="73">
        <f>S89+S90+S92+S91</f>
        <v>32032.6</v>
      </c>
      <c r="T88" s="73">
        <f>T89+T90+T92+T91</f>
        <v>1573.8000000000002</v>
      </c>
      <c r="U88" s="72">
        <f t="shared" si="29"/>
        <v>33606.400000000001</v>
      </c>
      <c r="V88" s="72">
        <f t="shared" si="26"/>
        <v>33606.400000000001</v>
      </c>
      <c r="W88" s="73">
        <f>W89+W90+W92+W91</f>
        <v>-240</v>
      </c>
      <c r="X88" s="72">
        <f t="shared" si="30"/>
        <v>33366.400000000001</v>
      </c>
      <c r="Y88" s="74" t="s">
        <v>417</v>
      </c>
      <c r="Z88" s="4"/>
      <c r="AA88" s="50"/>
    </row>
    <row r="89" spans="1:28" ht="83.25" hidden="1" customHeight="1" outlineLevel="1" x14ac:dyDescent="0.2">
      <c r="A89" s="51"/>
      <c r="B89" s="44"/>
      <c r="C89" s="52"/>
      <c r="D89" s="14"/>
      <c r="E89" s="139" t="s">
        <v>228</v>
      </c>
      <c r="F89" s="136"/>
      <c r="G89" s="136"/>
      <c r="H89" s="136"/>
      <c r="I89" s="15" t="s">
        <v>105</v>
      </c>
      <c r="J89" s="6" t="s">
        <v>103</v>
      </c>
      <c r="K89" s="6" t="s">
        <v>2</v>
      </c>
      <c r="L89" s="6" t="s">
        <v>13</v>
      </c>
      <c r="M89" s="19">
        <v>700</v>
      </c>
      <c r="N89" s="19">
        <f>-110</f>
        <v>-110</v>
      </c>
      <c r="O89" s="19">
        <f t="shared" si="27"/>
        <v>590</v>
      </c>
      <c r="P89" s="33">
        <v>590</v>
      </c>
      <c r="Q89" s="33">
        <f>250</f>
        <v>250</v>
      </c>
      <c r="R89" s="33">
        <f t="shared" si="31"/>
        <v>840</v>
      </c>
      <c r="S89" s="33">
        <v>840</v>
      </c>
      <c r="T89" s="33">
        <f>72+300+43</f>
        <v>415</v>
      </c>
      <c r="U89" s="33">
        <f t="shared" si="29"/>
        <v>1255</v>
      </c>
      <c r="V89" s="33">
        <f t="shared" si="26"/>
        <v>1255</v>
      </c>
      <c r="W89" s="33"/>
      <c r="X89" s="33">
        <f t="shared" si="30"/>
        <v>1255</v>
      </c>
      <c r="Y89" s="101"/>
      <c r="Z89" s="4"/>
      <c r="AA89" s="50"/>
    </row>
    <row r="90" spans="1:28" ht="48" hidden="1" customHeight="1" outlineLevel="1" x14ac:dyDescent="0.2">
      <c r="A90" s="51"/>
      <c r="B90" s="44"/>
      <c r="C90" s="52"/>
      <c r="D90" s="14"/>
      <c r="E90" s="139" t="s">
        <v>229</v>
      </c>
      <c r="F90" s="136"/>
      <c r="G90" s="136"/>
      <c r="H90" s="136"/>
      <c r="I90" s="15" t="s">
        <v>104</v>
      </c>
      <c r="J90" s="6" t="s">
        <v>103</v>
      </c>
      <c r="K90" s="6" t="s">
        <v>2</v>
      </c>
      <c r="L90" s="6" t="s">
        <v>11</v>
      </c>
      <c r="M90" s="19">
        <v>29582.6</v>
      </c>
      <c r="N90" s="19">
        <f>110</f>
        <v>110</v>
      </c>
      <c r="O90" s="19">
        <f t="shared" si="27"/>
        <v>29692.6</v>
      </c>
      <c r="P90" s="33">
        <v>29692.6</v>
      </c>
      <c r="Q90" s="33"/>
      <c r="R90" s="33">
        <f t="shared" si="31"/>
        <v>29692.6</v>
      </c>
      <c r="S90" s="33">
        <v>29692.6</v>
      </c>
      <c r="T90" s="33">
        <f>230+1207.4-278.6</f>
        <v>1158.8000000000002</v>
      </c>
      <c r="U90" s="33">
        <f t="shared" si="29"/>
        <v>30851.399999999998</v>
      </c>
      <c r="V90" s="33">
        <f t="shared" si="26"/>
        <v>30851.399999999998</v>
      </c>
      <c r="W90" s="33">
        <f>-240</f>
        <v>-240</v>
      </c>
      <c r="X90" s="33">
        <f t="shared" si="30"/>
        <v>30611.399999999998</v>
      </c>
      <c r="Y90" s="100" t="s">
        <v>416</v>
      </c>
      <c r="Z90" s="4"/>
      <c r="AA90" s="50"/>
      <c r="AB90" s="50"/>
    </row>
    <row r="91" spans="1:28" ht="27" hidden="1" customHeight="1" outlineLevel="1" x14ac:dyDescent="0.2">
      <c r="A91" s="51"/>
      <c r="B91" s="44"/>
      <c r="C91" s="52"/>
      <c r="D91" s="14"/>
      <c r="E91" s="136" t="s">
        <v>312</v>
      </c>
      <c r="F91" s="136"/>
      <c r="G91" s="136"/>
      <c r="H91" s="136"/>
      <c r="I91" s="15" t="s">
        <v>102</v>
      </c>
      <c r="J91" s="6" t="s">
        <v>103</v>
      </c>
      <c r="K91" s="6" t="s">
        <v>2</v>
      </c>
      <c r="L91" s="6" t="s">
        <v>26</v>
      </c>
      <c r="M91" s="19">
        <v>1500</v>
      </c>
      <c r="N91" s="19"/>
      <c r="O91" s="19">
        <f t="shared" si="27"/>
        <v>1500</v>
      </c>
      <c r="P91" s="33">
        <v>1500</v>
      </c>
      <c r="Q91" s="33"/>
      <c r="R91" s="33">
        <f t="shared" si="31"/>
        <v>1500</v>
      </c>
      <c r="S91" s="33">
        <v>1500</v>
      </c>
      <c r="T91" s="33"/>
      <c r="U91" s="33">
        <f t="shared" si="29"/>
        <v>1500</v>
      </c>
      <c r="V91" s="33">
        <f t="shared" si="26"/>
        <v>1500</v>
      </c>
      <c r="W91" s="33"/>
      <c r="X91" s="33">
        <f t="shared" si="30"/>
        <v>1500</v>
      </c>
      <c r="Y91" s="102"/>
      <c r="Z91" s="4"/>
      <c r="AA91" s="50"/>
    </row>
    <row r="92" spans="1:28" ht="27.75" hidden="1" customHeight="1" outlineLevel="1" x14ac:dyDescent="0.2">
      <c r="A92" s="51"/>
      <c r="B92" s="44"/>
      <c r="C92" s="52"/>
      <c r="D92" s="14"/>
      <c r="E92" s="136" t="s">
        <v>299</v>
      </c>
      <c r="F92" s="136"/>
      <c r="G92" s="136"/>
      <c r="H92" s="136"/>
      <c r="I92" s="15" t="s">
        <v>102</v>
      </c>
      <c r="J92" s="6" t="s">
        <v>103</v>
      </c>
      <c r="K92" s="6" t="s">
        <v>2</v>
      </c>
      <c r="L92" s="6" t="s">
        <v>300</v>
      </c>
      <c r="M92" s="19">
        <v>0</v>
      </c>
      <c r="N92" s="19"/>
      <c r="O92" s="19">
        <f t="shared" si="27"/>
        <v>0</v>
      </c>
      <c r="P92" s="33">
        <v>0</v>
      </c>
      <c r="Q92" s="33"/>
      <c r="R92" s="33">
        <f t="shared" si="31"/>
        <v>0</v>
      </c>
      <c r="S92" s="33">
        <v>0</v>
      </c>
      <c r="T92" s="33"/>
      <c r="U92" s="33">
        <f t="shared" si="29"/>
        <v>0</v>
      </c>
      <c r="V92" s="33">
        <f t="shared" si="26"/>
        <v>0</v>
      </c>
      <c r="W92" s="33"/>
      <c r="X92" s="33">
        <f t="shared" si="30"/>
        <v>0</v>
      </c>
      <c r="Y92" s="9"/>
      <c r="Z92" s="4"/>
      <c r="AA92" s="50"/>
    </row>
    <row r="93" spans="1:28" ht="30.75" customHeight="1" collapsed="1" x14ac:dyDescent="0.2">
      <c r="A93" s="51"/>
      <c r="B93" s="4"/>
      <c r="C93" s="53"/>
      <c r="D93" s="140" t="s">
        <v>321</v>
      </c>
      <c r="E93" s="141"/>
      <c r="F93" s="141"/>
      <c r="G93" s="141"/>
      <c r="H93" s="142"/>
      <c r="I93" s="68" t="s">
        <v>101</v>
      </c>
      <c r="J93" s="69" t="s">
        <v>95</v>
      </c>
      <c r="K93" s="69" t="s">
        <v>4</v>
      </c>
      <c r="L93" s="69" t="s">
        <v>4</v>
      </c>
      <c r="M93" s="71">
        <f>M94+M97+M99</f>
        <v>108500</v>
      </c>
      <c r="N93" s="71">
        <f>N94+N97+N99</f>
        <v>38162.5</v>
      </c>
      <c r="O93" s="70">
        <f t="shared" ref="O93:O98" si="32">SUM(M93:N93)</f>
        <v>146662.5</v>
      </c>
      <c r="P93" s="73">
        <f>P94+P97+P99</f>
        <v>146662.5</v>
      </c>
      <c r="Q93" s="73">
        <f>Q94+Q97+Q99</f>
        <v>25518.5</v>
      </c>
      <c r="R93" s="72">
        <f t="shared" si="31"/>
        <v>172181</v>
      </c>
      <c r="S93" s="73">
        <f>S94+S97+S99</f>
        <v>172181</v>
      </c>
      <c r="T93" s="73">
        <f>T94+T97+T99</f>
        <v>37941</v>
      </c>
      <c r="U93" s="72">
        <f t="shared" si="29"/>
        <v>210122</v>
      </c>
      <c r="V93" s="72">
        <f t="shared" si="26"/>
        <v>210122</v>
      </c>
      <c r="W93" s="73">
        <f>W94+W97+W99</f>
        <v>14570.5</v>
      </c>
      <c r="X93" s="72">
        <f t="shared" si="30"/>
        <v>224692.5</v>
      </c>
      <c r="Y93" s="75"/>
      <c r="Z93" s="4"/>
      <c r="AA93" s="50"/>
    </row>
    <row r="94" spans="1:28" ht="47.25" customHeight="1" x14ac:dyDescent="0.2">
      <c r="A94" s="51"/>
      <c r="B94" s="44"/>
      <c r="C94" s="52"/>
      <c r="D94" s="143" t="s">
        <v>230</v>
      </c>
      <c r="E94" s="138"/>
      <c r="F94" s="138"/>
      <c r="G94" s="138"/>
      <c r="H94" s="138"/>
      <c r="I94" s="84" t="s">
        <v>100</v>
      </c>
      <c r="J94" s="85" t="s">
        <v>95</v>
      </c>
      <c r="K94" s="85" t="s">
        <v>23</v>
      </c>
      <c r="L94" s="85" t="s">
        <v>4</v>
      </c>
      <c r="M94" s="86">
        <f>M95+M96</f>
        <v>8500</v>
      </c>
      <c r="N94" s="86">
        <f>N95+N96</f>
        <v>-1837.5</v>
      </c>
      <c r="O94" s="86">
        <f t="shared" si="32"/>
        <v>6662.5</v>
      </c>
      <c r="P94" s="87">
        <f>P95+P96</f>
        <v>6662.5</v>
      </c>
      <c r="Q94" s="87">
        <f>Q95+Q96</f>
        <v>17518.5</v>
      </c>
      <c r="R94" s="87">
        <f t="shared" si="31"/>
        <v>24181</v>
      </c>
      <c r="S94" s="87">
        <f>S95+S96</f>
        <v>24181</v>
      </c>
      <c r="T94" s="87">
        <f>T95+T96</f>
        <v>18276.099999999999</v>
      </c>
      <c r="U94" s="87">
        <f t="shared" si="29"/>
        <v>42457.1</v>
      </c>
      <c r="V94" s="87">
        <f t="shared" si="26"/>
        <v>42457.1</v>
      </c>
      <c r="W94" s="87">
        <f>W95+W96</f>
        <v>0</v>
      </c>
      <c r="X94" s="87">
        <f t="shared" si="30"/>
        <v>42457.1</v>
      </c>
      <c r="Y94" s="88"/>
      <c r="Z94" s="4"/>
      <c r="AA94" s="50"/>
    </row>
    <row r="95" spans="1:28" ht="198.75" hidden="1" customHeight="1" outlineLevel="1" x14ac:dyDescent="0.2">
      <c r="A95" s="51"/>
      <c r="B95" s="44"/>
      <c r="C95" s="52"/>
      <c r="D95" s="14"/>
      <c r="E95" s="139" t="s">
        <v>231</v>
      </c>
      <c r="F95" s="136"/>
      <c r="G95" s="136"/>
      <c r="H95" s="136"/>
      <c r="I95" s="15" t="s">
        <v>99</v>
      </c>
      <c r="J95" s="6" t="s">
        <v>95</v>
      </c>
      <c r="K95" s="6" t="s">
        <v>23</v>
      </c>
      <c r="L95" s="6" t="s">
        <v>13</v>
      </c>
      <c r="M95" s="19">
        <v>0</v>
      </c>
      <c r="N95" s="19"/>
      <c r="O95" s="19">
        <f t="shared" si="32"/>
        <v>0</v>
      </c>
      <c r="P95" s="33">
        <v>0</v>
      </c>
      <c r="Q95" s="33">
        <f>2200+8000+580+5000+5000-10000</f>
        <v>10780</v>
      </c>
      <c r="R95" s="33">
        <f t="shared" si="31"/>
        <v>10780</v>
      </c>
      <c r="S95" s="33">
        <v>10780</v>
      </c>
      <c r="T95" s="33">
        <f>17000-2200+2271.6+170+281.8+400-295.1+99.5+600-43.2</f>
        <v>18284.599999999999</v>
      </c>
      <c r="U95" s="33">
        <f t="shared" si="29"/>
        <v>29064.6</v>
      </c>
      <c r="V95" s="33">
        <f t="shared" si="26"/>
        <v>29064.6</v>
      </c>
      <c r="W95" s="33"/>
      <c r="X95" s="33">
        <f t="shared" si="30"/>
        <v>29064.6</v>
      </c>
      <c r="Y95" s="9"/>
      <c r="Z95" s="4"/>
      <c r="AA95" s="50"/>
    </row>
    <row r="96" spans="1:28" ht="26.25" hidden="1" customHeight="1" outlineLevel="1" x14ac:dyDescent="0.2">
      <c r="A96" s="51"/>
      <c r="B96" s="44"/>
      <c r="C96" s="52"/>
      <c r="D96" s="14"/>
      <c r="E96" s="139" t="s">
        <v>232</v>
      </c>
      <c r="F96" s="136"/>
      <c r="G96" s="136"/>
      <c r="H96" s="136"/>
      <c r="I96" s="15" t="s">
        <v>98</v>
      </c>
      <c r="J96" s="6" t="s">
        <v>95</v>
      </c>
      <c r="K96" s="6" t="s">
        <v>23</v>
      </c>
      <c r="L96" s="6" t="s">
        <v>11</v>
      </c>
      <c r="M96" s="19">
        <v>8500</v>
      </c>
      <c r="N96" s="19">
        <v>-1837.5</v>
      </c>
      <c r="O96" s="19">
        <f t="shared" si="32"/>
        <v>6662.5</v>
      </c>
      <c r="P96" s="33">
        <v>6662.5</v>
      </c>
      <c r="Q96" s="33">
        <v>6738.5</v>
      </c>
      <c r="R96" s="33">
        <f t="shared" si="31"/>
        <v>13401</v>
      </c>
      <c r="S96" s="33">
        <v>13401</v>
      </c>
      <c r="T96" s="33">
        <f>-8.6+0.1</f>
        <v>-8.5</v>
      </c>
      <c r="U96" s="33">
        <f t="shared" si="29"/>
        <v>13392.5</v>
      </c>
      <c r="V96" s="33">
        <f t="shared" si="26"/>
        <v>13392.5</v>
      </c>
      <c r="W96" s="33"/>
      <c r="X96" s="33">
        <f t="shared" si="30"/>
        <v>13392.5</v>
      </c>
      <c r="Y96" s="9"/>
      <c r="Z96" s="4"/>
      <c r="AA96" s="50"/>
    </row>
    <row r="97" spans="1:27" ht="45.75" customHeight="1" collapsed="1" x14ac:dyDescent="0.2">
      <c r="A97" s="51"/>
      <c r="B97" s="44"/>
      <c r="C97" s="52"/>
      <c r="D97" s="137" t="s">
        <v>337</v>
      </c>
      <c r="E97" s="138"/>
      <c r="F97" s="138"/>
      <c r="G97" s="138"/>
      <c r="H97" s="138"/>
      <c r="I97" s="84" t="s">
        <v>97</v>
      </c>
      <c r="J97" s="85" t="s">
        <v>95</v>
      </c>
      <c r="K97" s="85" t="s">
        <v>18</v>
      </c>
      <c r="L97" s="85" t="s">
        <v>4</v>
      </c>
      <c r="M97" s="86">
        <f>M98</f>
        <v>100000</v>
      </c>
      <c r="N97" s="86">
        <f>N98</f>
        <v>40000</v>
      </c>
      <c r="O97" s="86">
        <f t="shared" si="32"/>
        <v>140000</v>
      </c>
      <c r="P97" s="87">
        <f>P98</f>
        <v>140000</v>
      </c>
      <c r="Q97" s="87">
        <f>Q98</f>
        <v>8000</v>
      </c>
      <c r="R97" s="87">
        <f t="shared" si="31"/>
        <v>148000</v>
      </c>
      <c r="S97" s="87">
        <f>S98</f>
        <v>148000</v>
      </c>
      <c r="T97" s="87">
        <f>T98</f>
        <v>19414.900000000001</v>
      </c>
      <c r="U97" s="87">
        <f t="shared" si="29"/>
        <v>167414.9</v>
      </c>
      <c r="V97" s="87">
        <f t="shared" si="26"/>
        <v>167414.9</v>
      </c>
      <c r="W97" s="87">
        <f>W98</f>
        <v>14570.5</v>
      </c>
      <c r="X97" s="87">
        <f t="shared" si="30"/>
        <v>181985.4</v>
      </c>
      <c r="Y97" s="88" t="s">
        <v>431</v>
      </c>
      <c r="Z97" s="4"/>
      <c r="AA97" s="50"/>
    </row>
    <row r="98" spans="1:27" ht="60.75" hidden="1" customHeight="1" outlineLevel="1" x14ac:dyDescent="0.2">
      <c r="A98" s="51"/>
      <c r="B98" s="44"/>
      <c r="C98" s="52"/>
      <c r="D98" s="14"/>
      <c r="E98" s="139" t="s">
        <v>233</v>
      </c>
      <c r="F98" s="136"/>
      <c r="G98" s="136"/>
      <c r="H98" s="136"/>
      <c r="I98" s="15" t="s">
        <v>97</v>
      </c>
      <c r="J98" s="6" t="s">
        <v>95</v>
      </c>
      <c r="K98" s="6" t="s">
        <v>18</v>
      </c>
      <c r="L98" s="6" t="s">
        <v>13</v>
      </c>
      <c r="M98" s="19">
        <v>100000</v>
      </c>
      <c r="N98" s="19">
        <v>40000</v>
      </c>
      <c r="O98" s="19">
        <f t="shared" si="32"/>
        <v>140000</v>
      </c>
      <c r="P98" s="33">
        <v>140000</v>
      </c>
      <c r="Q98" s="33">
        <v>8000</v>
      </c>
      <c r="R98" s="33">
        <f t="shared" si="31"/>
        <v>148000</v>
      </c>
      <c r="S98" s="33">
        <v>148000</v>
      </c>
      <c r="T98" s="33">
        <v>19414.900000000001</v>
      </c>
      <c r="U98" s="33">
        <f t="shared" si="29"/>
        <v>167414.9</v>
      </c>
      <c r="V98" s="33">
        <f t="shared" si="26"/>
        <v>167414.9</v>
      </c>
      <c r="W98" s="112">
        <f>2012.2+297.1+10261.2+2000</f>
        <v>14570.5</v>
      </c>
      <c r="X98" s="33">
        <f t="shared" si="30"/>
        <v>181985.4</v>
      </c>
      <c r="Y98" s="114" t="s">
        <v>418</v>
      </c>
      <c r="Z98" s="4"/>
      <c r="AA98" s="50"/>
    </row>
    <row r="99" spans="1:27" ht="36" customHeight="1" collapsed="1" x14ac:dyDescent="0.2">
      <c r="A99" s="51"/>
      <c r="B99" s="44"/>
      <c r="C99" s="52"/>
      <c r="D99" s="137" t="s">
        <v>338</v>
      </c>
      <c r="E99" s="138"/>
      <c r="F99" s="138"/>
      <c r="G99" s="138"/>
      <c r="H99" s="138"/>
      <c r="I99" s="84" t="s">
        <v>96</v>
      </c>
      <c r="J99" s="85" t="s">
        <v>95</v>
      </c>
      <c r="K99" s="85" t="s">
        <v>27</v>
      </c>
      <c r="L99" s="85" t="s">
        <v>4</v>
      </c>
      <c r="M99" s="86">
        <f>M100</f>
        <v>0</v>
      </c>
      <c r="N99" s="86">
        <f t="shared" ref="N99:U99" si="33">N100</f>
        <v>0</v>
      </c>
      <c r="O99" s="86">
        <f t="shared" si="33"/>
        <v>0</v>
      </c>
      <c r="P99" s="87">
        <f>P100</f>
        <v>0</v>
      </c>
      <c r="Q99" s="87">
        <f t="shared" si="33"/>
        <v>0</v>
      </c>
      <c r="R99" s="87">
        <f t="shared" si="33"/>
        <v>0</v>
      </c>
      <c r="S99" s="87">
        <f>S100</f>
        <v>0</v>
      </c>
      <c r="T99" s="87">
        <f t="shared" si="33"/>
        <v>250</v>
      </c>
      <c r="U99" s="87">
        <f t="shared" si="33"/>
        <v>250</v>
      </c>
      <c r="V99" s="87">
        <f t="shared" si="26"/>
        <v>250</v>
      </c>
      <c r="W99" s="87">
        <f>W100</f>
        <v>0</v>
      </c>
      <c r="X99" s="87">
        <f>X100</f>
        <v>250</v>
      </c>
      <c r="Y99" s="88"/>
      <c r="Z99" s="4"/>
      <c r="AA99" s="50"/>
    </row>
    <row r="100" spans="1:27" ht="35.25" hidden="1" customHeight="1" outlineLevel="1" x14ac:dyDescent="0.2">
      <c r="A100" s="51"/>
      <c r="B100" s="44"/>
      <c r="C100" s="52"/>
      <c r="D100" s="14"/>
      <c r="E100" s="139" t="s">
        <v>234</v>
      </c>
      <c r="F100" s="136"/>
      <c r="G100" s="136"/>
      <c r="H100" s="136"/>
      <c r="I100" s="15" t="s">
        <v>96</v>
      </c>
      <c r="J100" s="6" t="s">
        <v>95</v>
      </c>
      <c r="K100" s="6" t="s">
        <v>27</v>
      </c>
      <c r="L100" s="6" t="s">
        <v>13</v>
      </c>
      <c r="M100" s="19">
        <v>0</v>
      </c>
      <c r="N100" s="19"/>
      <c r="O100" s="19">
        <f>SUM(M100:N100)</f>
        <v>0</v>
      </c>
      <c r="P100" s="33">
        <v>0</v>
      </c>
      <c r="Q100" s="33"/>
      <c r="R100" s="33">
        <f t="shared" ref="R100:R106" si="34">SUM(P100:Q100)</f>
        <v>0</v>
      </c>
      <c r="S100" s="33">
        <v>0</v>
      </c>
      <c r="T100" s="33">
        <f>250</f>
        <v>250</v>
      </c>
      <c r="U100" s="33">
        <f t="shared" ref="U100:U106" si="35">SUM(S100:T100)</f>
        <v>250</v>
      </c>
      <c r="V100" s="33">
        <f t="shared" si="26"/>
        <v>250</v>
      </c>
      <c r="W100" s="33"/>
      <c r="X100" s="33">
        <f t="shared" ref="X100:X106" si="36">SUM(V100:W100)</f>
        <v>250</v>
      </c>
      <c r="Y100" s="9"/>
      <c r="Z100" s="4"/>
      <c r="AA100" s="50"/>
    </row>
    <row r="101" spans="1:27" ht="42" customHeight="1" collapsed="1" x14ac:dyDescent="0.2">
      <c r="A101" s="51"/>
      <c r="B101" s="4"/>
      <c r="C101" s="53"/>
      <c r="D101" s="140" t="s">
        <v>322</v>
      </c>
      <c r="E101" s="141"/>
      <c r="F101" s="141"/>
      <c r="G101" s="141"/>
      <c r="H101" s="142"/>
      <c r="I101" s="68" t="s">
        <v>94</v>
      </c>
      <c r="J101" s="69" t="s">
        <v>84</v>
      </c>
      <c r="K101" s="69" t="s">
        <v>4</v>
      </c>
      <c r="L101" s="69" t="s">
        <v>4</v>
      </c>
      <c r="M101" s="71">
        <f>M102+M107+M112+M114+M116</f>
        <v>44945.599999999999</v>
      </c>
      <c r="N101" s="71">
        <f>N102+N107+N112+N114+N116</f>
        <v>9029.2000000000007</v>
      </c>
      <c r="O101" s="70">
        <f>SUM(M101:N101)</f>
        <v>53974.8</v>
      </c>
      <c r="P101" s="73">
        <f>P102+P107+P112+P114+P116</f>
        <v>53974.799999999996</v>
      </c>
      <c r="Q101" s="73">
        <f>Q102+Q107+Q112+Q114+Q116</f>
        <v>9101.7000000000007</v>
      </c>
      <c r="R101" s="72">
        <f t="shared" si="34"/>
        <v>63076.5</v>
      </c>
      <c r="S101" s="73">
        <f>S102+S107+S112+S114+S116</f>
        <v>63076.5</v>
      </c>
      <c r="T101" s="73">
        <f>T102+T107+T112+T114+T116</f>
        <v>78739.000000000015</v>
      </c>
      <c r="U101" s="72">
        <f t="shared" si="35"/>
        <v>141815.5</v>
      </c>
      <c r="V101" s="72">
        <f t="shared" si="26"/>
        <v>141815.5</v>
      </c>
      <c r="W101" s="73">
        <f>W102+W107+W112+W114+W116</f>
        <v>490181.3</v>
      </c>
      <c r="X101" s="72">
        <f t="shared" si="36"/>
        <v>631996.80000000005</v>
      </c>
      <c r="Y101" s="75"/>
      <c r="Z101" s="4"/>
      <c r="AA101" s="50"/>
    </row>
    <row r="102" spans="1:27" ht="42.75" customHeight="1" x14ac:dyDescent="0.2">
      <c r="A102" s="51"/>
      <c r="B102" s="44"/>
      <c r="C102" s="52"/>
      <c r="D102" s="137" t="s">
        <v>331</v>
      </c>
      <c r="E102" s="138"/>
      <c r="F102" s="138"/>
      <c r="G102" s="138"/>
      <c r="H102" s="138"/>
      <c r="I102" s="84" t="s">
        <v>93</v>
      </c>
      <c r="J102" s="85" t="s">
        <v>84</v>
      </c>
      <c r="K102" s="85" t="s">
        <v>23</v>
      </c>
      <c r="L102" s="85" t="s">
        <v>4</v>
      </c>
      <c r="M102" s="86">
        <f>M103+M104+M105+M106</f>
        <v>33231</v>
      </c>
      <c r="N102" s="86">
        <f>N103+N104+N105+N106</f>
        <v>10279.200000000001</v>
      </c>
      <c r="O102" s="86">
        <f>SUM(M102:N102)</f>
        <v>43510.2</v>
      </c>
      <c r="P102" s="87">
        <f>P103+P104+P105+P106</f>
        <v>43510.2</v>
      </c>
      <c r="Q102" s="87">
        <f>Q103+Q104+Q105+Q106</f>
        <v>2114.2999999999993</v>
      </c>
      <c r="R102" s="87">
        <f t="shared" si="34"/>
        <v>45624.5</v>
      </c>
      <c r="S102" s="87">
        <f>S103+S104+S105+S106</f>
        <v>45624.5</v>
      </c>
      <c r="T102" s="87">
        <f>T103+T104+T105+T106</f>
        <v>11270.300000000001</v>
      </c>
      <c r="U102" s="87">
        <f t="shared" si="35"/>
        <v>56894.8</v>
      </c>
      <c r="V102" s="87">
        <f t="shared" si="26"/>
        <v>56894.8</v>
      </c>
      <c r="W102" s="87">
        <f>W103+W104+W105+W106</f>
        <v>800</v>
      </c>
      <c r="X102" s="87">
        <f t="shared" si="36"/>
        <v>57694.8</v>
      </c>
      <c r="Y102" s="88" t="s">
        <v>432</v>
      </c>
      <c r="Z102" s="4"/>
      <c r="AA102" s="50"/>
    </row>
    <row r="103" spans="1:27" ht="51" hidden="1" customHeight="1" outlineLevel="2" x14ac:dyDescent="0.2">
      <c r="A103" s="51"/>
      <c r="B103" s="44"/>
      <c r="C103" s="52"/>
      <c r="D103" s="14"/>
      <c r="E103" s="136" t="s">
        <v>345</v>
      </c>
      <c r="F103" s="136"/>
      <c r="G103" s="136"/>
      <c r="H103" s="136"/>
      <c r="I103" s="15" t="s">
        <v>92</v>
      </c>
      <c r="J103" s="6" t="s">
        <v>84</v>
      </c>
      <c r="K103" s="6" t="s">
        <v>23</v>
      </c>
      <c r="L103" s="6" t="s">
        <v>13</v>
      </c>
      <c r="M103" s="19">
        <v>2931</v>
      </c>
      <c r="N103" s="19">
        <f>3191.7</f>
        <v>3191.7</v>
      </c>
      <c r="O103" s="19">
        <f t="shared" ref="O103:O122" si="37">SUM(M103:N103)</f>
        <v>6122.7</v>
      </c>
      <c r="P103" s="33">
        <v>6122.7</v>
      </c>
      <c r="Q103" s="33"/>
      <c r="R103" s="33">
        <f t="shared" si="34"/>
        <v>6122.7</v>
      </c>
      <c r="S103" s="33">
        <v>6122.7</v>
      </c>
      <c r="T103" s="33">
        <f>1500+600</f>
        <v>2100</v>
      </c>
      <c r="U103" s="33">
        <f t="shared" si="35"/>
        <v>8222.7000000000007</v>
      </c>
      <c r="V103" s="33">
        <f t="shared" si="26"/>
        <v>8222.7000000000007</v>
      </c>
      <c r="W103" s="33"/>
      <c r="X103" s="33">
        <f t="shared" si="36"/>
        <v>8222.7000000000007</v>
      </c>
      <c r="Y103" s="9"/>
      <c r="Z103" s="4"/>
      <c r="AA103" s="50"/>
    </row>
    <row r="104" spans="1:27" ht="26.25" hidden="1" customHeight="1" outlineLevel="2" x14ac:dyDescent="0.2">
      <c r="A104" s="51"/>
      <c r="B104" s="44"/>
      <c r="C104" s="52"/>
      <c r="D104" s="14"/>
      <c r="E104" s="136" t="s">
        <v>354</v>
      </c>
      <c r="F104" s="136"/>
      <c r="G104" s="136"/>
      <c r="H104" s="136"/>
      <c r="I104" s="15" t="s">
        <v>91</v>
      </c>
      <c r="J104" s="6" t="s">
        <v>84</v>
      </c>
      <c r="K104" s="6" t="s">
        <v>23</v>
      </c>
      <c r="L104" s="6" t="s">
        <v>11</v>
      </c>
      <c r="M104" s="19">
        <v>22600</v>
      </c>
      <c r="N104" s="19">
        <f>1500-3251</f>
        <v>-1751</v>
      </c>
      <c r="O104" s="19">
        <f t="shared" si="37"/>
        <v>20849</v>
      </c>
      <c r="P104" s="33">
        <v>20849</v>
      </c>
      <c r="Q104" s="33">
        <f>400+700+500+400+700+3500+1000+1000-3500</f>
        <v>4700</v>
      </c>
      <c r="R104" s="33">
        <f t="shared" si="34"/>
        <v>25549</v>
      </c>
      <c r="S104" s="33">
        <v>25549</v>
      </c>
      <c r="T104" s="33">
        <f>100.5+252.7+600+254.1+100-0.6+2500+2000+1200+62.8</f>
        <v>7069.5</v>
      </c>
      <c r="U104" s="33">
        <f t="shared" si="35"/>
        <v>32618.5</v>
      </c>
      <c r="V104" s="33">
        <f t="shared" si="26"/>
        <v>32618.5</v>
      </c>
      <c r="W104" s="33">
        <f>800</f>
        <v>800</v>
      </c>
      <c r="X104" s="33">
        <f t="shared" si="36"/>
        <v>33418.5</v>
      </c>
      <c r="Y104" s="9" t="s">
        <v>384</v>
      </c>
      <c r="Z104" s="4"/>
      <c r="AA104" s="50"/>
    </row>
    <row r="105" spans="1:27" ht="36.75" hidden="1" customHeight="1" outlineLevel="2" x14ac:dyDescent="0.2">
      <c r="A105" s="51"/>
      <c r="B105" s="44"/>
      <c r="C105" s="52"/>
      <c r="D105" s="14"/>
      <c r="E105" s="136" t="s">
        <v>349</v>
      </c>
      <c r="F105" s="136"/>
      <c r="G105" s="136"/>
      <c r="H105" s="136"/>
      <c r="I105" s="20" t="s">
        <v>350</v>
      </c>
      <c r="J105" s="11" t="s">
        <v>84</v>
      </c>
      <c r="K105" s="11" t="s">
        <v>23</v>
      </c>
      <c r="L105" s="11" t="s">
        <v>26</v>
      </c>
      <c r="M105" s="19">
        <v>7700</v>
      </c>
      <c r="N105" s="19">
        <f>-1500</f>
        <v>-1500</v>
      </c>
      <c r="O105" s="19">
        <f t="shared" si="37"/>
        <v>6200</v>
      </c>
      <c r="P105" s="33">
        <v>6200</v>
      </c>
      <c r="Q105" s="33">
        <f>-1300-184</f>
        <v>-1484</v>
      </c>
      <c r="R105" s="33">
        <f t="shared" si="34"/>
        <v>4716</v>
      </c>
      <c r="S105" s="33">
        <v>4716</v>
      </c>
      <c r="T105" s="33">
        <f>-0.8+1000</f>
        <v>999.2</v>
      </c>
      <c r="U105" s="33">
        <f t="shared" si="35"/>
        <v>5715.2</v>
      </c>
      <c r="V105" s="33">
        <f t="shared" ref="V105:V136" si="38">SUM(S105:T105)</f>
        <v>5715.2</v>
      </c>
      <c r="W105" s="33"/>
      <c r="X105" s="33">
        <f t="shared" si="36"/>
        <v>5715.2</v>
      </c>
      <c r="Y105" s="9"/>
      <c r="Z105" s="4"/>
      <c r="AA105" s="50"/>
    </row>
    <row r="106" spans="1:27" ht="21" hidden="1" customHeight="1" outlineLevel="2" x14ac:dyDescent="0.2">
      <c r="A106" s="51"/>
      <c r="B106" s="44"/>
      <c r="C106" s="52"/>
      <c r="D106" s="14"/>
      <c r="E106" s="189" t="s">
        <v>355</v>
      </c>
      <c r="F106" s="147"/>
      <c r="G106" s="147"/>
      <c r="H106" s="148"/>
      <c r="I106" s="20"/>
      <c r="J106" s="11" t="s">
        <v>84</v>
      </c>
      <c r="K106" s="11" t="s">
        <v>23</v>
      </c>
      <c r="L106" s="11" t="s">
        <v>10</v>
      </c>
      <c r="M106" s="19">
        <v>0</v>
      </c>
      <c r="N106" s="19">
        <v>10338.5</v>
      </c>
      <c r="O106" s="19">
        <f t="shared" si="37"/>
        <v>10338.5</v>
      </c>
      <c r="P106" s="33">
        <v>10338.5</v>
      </c>
      <c r="Q106" s="33">
        <f>-8338.6+1000+6236.9</f>
        <v>-1101.7000000000007</v>
      </c>
      <c r="R106" s="33">
        <f t="shared" si="34"/>
        <v>9236.7999999999993</v>
      </c>
      <c r="S106" s="33">
        <v>9236.7999999999993</v>
      </c>
      <c r="T106" s="33">
        <f>213+70+150+668.6</f>
        <v>1101.5999999999999</v>
      </c>
      <c r="U106" s="33">
        <f t="shared" si="35"/>
        <v>10338.4</v>
      </c>
      <c r="V106" s="33">
        <f t="shared" si="38"/>
        <v>10338.4</v>
      </c>
      <c r="W106" s="33"/>
      <c r="X106" s="33">
        <f t="shared" si="36"/>
        <v>10338.4</v>
      </c>
      <c r="Y106" s="9"/>
      <c r="Z106" s="4"/>
      <c r="AA106" s="50"/>
    </row>
    <row r="107" spans="1:27" ht="83.25" customHeight="1" collapsed="1" x14ac:dyDescent="0.2">
      <c r="A107" s="51"/>
      <c r="B107" s="44"/>
      <c r="C107" s="52"/>
      <c r="D107" s="137" t="s">
        <v>332</v>
      </c>
      <c r="E107" s="138"/>
      <c r="F107" s="138"/>
      <c r="G107" s="138"/>
      <c r="H107" s="138"/>
      <c r="I107" s="84" t="s">
        <v>90</v>
      </c>
      <c r="J107" s="85" t="s">
        <v>84</v>
      </c>
      <c r="K107" s="85" t="s">
        <v>18</v>
      </c>
      <c r="L107" s="85" t="s">
        <v>4</v>
      </c>
      <c r="M107" s="86">
        <f t="shared" ref="M107:U107" si="39">M108+M109+M110+M111</f>
        <v>10964.599999999999</v>
      </c>
      <c r="N107" s="86">
        <f t="shared" si="39"/>
        <v>-500</v>
      </c>
      <c r="O107" s="86">
        <f t="shared" si="39"/>
        <v>10464.599999999999</v>
      </c>
      <c r="P107" s="87">
        <f t="shared" si="39"/>
        <v>10464.599999999999</v>
      </c>
      <c r="Q107" s="87">
        <f t="shared" si="39"/>
        <v>5987.4000000000005</v>
      </c>
      <c r="R107" s="87">
        <f t="shared" si="39"/>
        <v>16452</v>
      </c>
      <c r="S107" s="87">
        <f t="shared" si="39"/>
        <v>16452</v>
      </c>
      <c r="T107" s="87">
        <f>T108+T109+T110+T111</f>
        <v>67275.100000000006</v>
      </c>
      <c r="U107" s="87">
        <f t="shared" si="39"/>
        <v>83727.100000000006</v>
      </c>
      <c r="V107" s="87">
        <f t="shared" si="38"/>
        <v>83727.100000000006</v>
      </c>
      <c r="W107" s="87">
        <f>W108+W109+W110+W111</f>
        <v>489381.3</v>
      </c>
      <c r="X107" s="87">
        <f>X108+X109+X110+X111</f>
        <v>573108.4</v>
      </c>
      <c r="Y107" s="88" t="s">
        <v>430</v>
      </c>
      <c r="Z107" s="4"/>
      <c r="AA107" s="50"/>
    </row>
    <row r="108" spans="1:27" ht="47.25" hidden="1" customHeight="1" outlineLevel="1" x14ac:dyDescent="0.2">
      <c r="A108" s="51"/>
      <c r="B108" s="44"/>
      <c r="C108" s="52"/>
      <c r="D108" s="14"/>
      <c r="E108" s="139" t="s">
        <v>235</v>
      </c>
      <c r="F108" s="136"/>
      <c r="G108" s="136"/>
      <c r="H108" s="136"/>
      <c r="I108" s="15" t="s">
        <v>89</v>
      </c>
      <c r="J108" s="6" t="s">
        <v>84</v>
      </c>
      <c r="K108" s="6" t="s">
        <v>18</v>
      </c>
      <c r="L108" s="6" t="s">
        <v>13</v>
      </c>
      <c r="M108" s="19">
        <v>4850.8999999999996</v>
      </c>
      <c r="N108" s="19">
        <f>-500</f>
        <v>-500</v>
      </c>
      <c r="O108" s="19">
        <f t="shared" si="37"/>
        <v>4350.8999999999996</v>
      </c>
      <c r="P108" s="33">
        <v>4350.8999999999996</v>
      </c>
      <c r="Q108" s="33">
        <f>5290+933.5+526</f>
        <v>6749.5</v>
      </c>
      <c r="R108" s="33">
        <f t="shared" ref="R108:R115" si="40">SUM(P108:Q108)</f>
        <v>11100.4</v>
      </c>
      <c r="S108" s="33">
        <v>11100.4</v>
      </c>
      <c r="T108" s="33">
        <f>-526+58.6+600+5278.6+931.5-600</f>
        <v>5742.7000000000007</v>
      </c>
      <c r="U108" s="33">
        <f t="shared" ref="U108:U115" si="41">SUM(S108:T108)</f>
        <v>16843.099999999999</v>
      </c>
      <c r="V108" s="33">
        <f t="shared" si="38"/>
        <v>16843.099999999999</v>
      </c>
      <c r="W108" s="33"/>
      <c r="X108" s="33">
        <f t="shared" ref="X108:X115" si="42">SUM(V108:W108)</f>
        <v>16843.099999999999</v>
      </c>
      <c r="Y108" s="9"/>
      <c r="Z108" s="4"/>
      <c r="AA108" s="50"/>
    </row>
    <row r="109" spans="1:27" ht="37.5" hidden="1" customHeight="1" outlineLevel="1" x14ac:dyDescent="0.2">
      <c r="A109" s="51"/>
      <c r="B109" s="44"/>
      <c r="C109" s="52"/>
      <c r="D109" s="14"/>
      <c r="E109" s="136" t="s">
        <v>236</v>
      </c>
      <c r="F109" s="136"/>
      <c r="G109" s="136"/>
      <c r="H109" s="136"/>
      <c r="I109" s="15" t="s">
        <v>88</v>
      </c>
      <c r="J109" s="6" t="s">
        <v>84</v>
      </c>
      <c r="K109" s="6" t="s">
        <v>18</v>
      </c>
      <c r="L109" s="6" t="s">
        <v>11</v>
      </c>
      <c r="M109" s="19">
        <v>1000</v>
      </c>
      <c r="N109" s="19"/>
      <c r="O109" s="19">
        <f t="shared" si="37"/>
        <v>1000</v>
      </c>
      <c r="P109" s="33">
        <v>1000</v>
      </c>
      <c r="Q109" s="33">
        <f>-460.4</f>
        <v>-460.4</v>
      </c>
      <c r="R109" s="33">
        <f t="shared" si="40"/>
        <v>539.6</v>
      </c>
      <c r="S109" s="33">
        <v>539.6</v>
      </c>
      <c r="T109" s="33"/>
      <c r="U109" s="33">
        <f t="shared" si="41"/>
        <v>539.6</v>
      </c>
      <c r="V109" s="33">
        <f t="shared" si="38"/>
        <v>539.6</v>
      </c>
      <c r="W109" s="33"/>
      <c r="X109" s="33">
        <f t="shared" si="42"/>
        <v>539.6</v>
      </c>
      <c r="Y109" s="9"/>
      <c r="Z109" s="4"/>
      <c r="AA109" s="50"/>
    </row>
    <row r="110" spans="1:27" ht="83.25" hidden="1" customHeight="1" outlineLevel="1" x14ac:dyDescent="0.2">
      <c r="A110" s="51"/>
      <c r="B110" s="44"/>
      <c r="C110" s="52"/>
      <c r="D110" s="14"/>
      <c r="E110" s="136" t="s">
        <v>237</v>
      </c>
      <c r="F110" s="136"/>
      <c r="G110" s="136"/>
      <c r="H110" s="136"/>
      <c r="I110" s="15" t="s">
        <v>87</v>
      </c>
      <c r="J110" s="6" t="s">
        <v>84</v>
      </c>
      <c r="K110" s="6" t="s">
        <v>18</v>
      </c>
      <c r="L110" s="6" t="s">
        <v>26</v>
      </c>
      <c r="M110" s="19">
        <v>5113.7</v>
      </c>
      <c r="N110" s="19"/>
      <c r="O110" s="19">
        <f t="shared" si="37"/>
        <v>5113.7</v>
      </c>
      <c r="P110" s="33">
        <v>5113.7</v>
      </c>
      <c r="Q110" s="33">
        <f>-113.3-188.4</f>
        <v>-301.7</v>
      </c>
      <c r="R110" s="33">
        <f t="shared" si="40"/>
        <v>4812</v>
      </c>
      <c r="S110" s="33">
        <v>4812</v>
      </c>
      <c r="T110" s="33">
        <f>-152.7-177.4</f>
        <v>-330.1</v>
      </c>
      <c r="U110" s="33">
        <f t="shared" si="41"/>
        <v>4481.8999999999996</v>
      </c>
      <c r="V110" s="33">
        <f t="shared" si="38"/>
        <v>4481.8999999999996</v>
      </c>
      <c r="W110" s="33">
        <f>-918.7</f>
        <v>-918.7</v>
      </c>
      <c r="X110" s="33">
        <f t="shared" si="42"/>
        <v>3563.2</v>
      </c>
      <c r="Y110" s="9" t="s">
        <v>396</v>
      </c>
      <c r="Z110" s="4"/>
      <c r="AA110" s="50"/>
    </row>
    <row r="111" spans="1:27" ht="79.5" hidden="1" customHeight="1" outlineLevel="1" x14ac:dyDescent="0.2">
      <c r="A111" s="44"/>
      <c r="B111" s="44"/>
      <c r="C111" s="44"/>
      <c r="D111" s="44"/>
      <c r="E111" s="139" t="s">
        <v>314</v>
      </c>
      <c r="F111" s="136"/>
      <c r="G111" s="136"/>
      <c r="H111" s="136"/>
      <c r="I111" s="15"/>
      <c r="J111" s="6" t="s">
        <v>84</v>
      </c>
      <c r="K111" s="6" t="s">
        <v>18</v>
      </c>
      <c r="L111" s="11" t="s">
        <v>10</v>
      </c>
      <c r="M111" s="19">
        <v>0</v>
      </c>
      <c r="N111" s="19"/>
      <c r="O111" s="19">
        <f t="shared" si="37"/>
        <v>0</v>
      </c>
      <c r="P111" s="33">
        <v>0</v>
      </c>
      <c r="Q111" s="33"/>
      <c r="R111" s="33">
        <f t="shared" si="40"/>
        <v>0</v>
      </c>
      <c r="S111" s="33">
        <v>0</v>
      </c>
      <c r="T111" s="33">
        <v>61862.5</v>
      </c>
      <c r="U111" s="33">
        <f t="shared" si="41"/>
        <v>61862.5</v>
      </c>
      <c r="V111" s="33">
        <f t="shared" si="38"/>
        <v>61862.5</v>
      </c>
      <c r="W111" s="33">
        <f>490300</f>
        <v>490300</v>
      </c>
      <c r="X111" s="33">
        <f t="shared" si="42"/>
        <v>552162.5</v>
      </c>
      <c r="Y111" s="9" t="s">
        <v>397</v>
      </c>
      <c r="Z111" s="4"/>
      <c r="AA111" s="50"/>
    </row>
    <row r="112" spans="1:27" ht="42" customHeight="1" collapsed="1" x14ac:dyDescent="0.2">
      <c r="A112" s="51"/>
      <c r="B112" s="44"/>
      <c r="C112" s="52"/>
      <c r="D112" s="137" t="s">
        <v>339</v>
      </c>
      <c r="E112" s="138"/>
      <c r="F112" s="138"/>
      <c r="G112" s="138"/>
      <c r="H112" s="138"/>
      <c r="I112" s="84" t="s">
        <v>86</v>
      </c>
      <c r="J112" s="85" t="s">
        <v>84</v>
      </c>
      <c r="K112" s="85" t="s">
        <v>27</v>
      </c>
      <c r="L112" s="85" t="s">
        <v>4</v>
      </c>
      <c r="M112" s="86">
        <f>M113</f>
        <v>150</v>
      </c>
      <c r="N112" s="86">
        <f>N113</f>
        <v>-150</v>
      </c>
      <c r="O112" s="86">
        <f>SUM(M112:N112)</f>
        <v>0</v>
      </c>
      <c r="P112" s="87">
        <f>P113</f>
        <v>0</v>
      </c>
      <c r="Q112" s="87">
        <f>Q113</f>
        <v>0</v>
      </c>
      <c r="R112" s="87">
        <f t="shared" si="40"/>
        <v>0</v>
      </c>
      <c r="S112" s="87">
        <f>S113</f>
        <v>0</v>
      </c>
      <c r="T112" s="87">
        <f>T113</f>
        <v>141.80000000000001</v>
      </c>
      <c r="U112" s="87">
        <f t="shared" si="41"/>
        <v>141.80000000000001</v>
      </c>
      <c r="V112" s="87">
        <f t="shared" si="38"/>
        <v>141.80000000000001</v>
      </c>
      <c r="W112" s="87">
        <f>W113</f>
        <v>0</v>
      </c>
      <c r="X112" s="87">
        <f t="shared" si="42"/>
        <v>141.80000000000001</v>
      </c>
      <c r="Y112" s="88"/>
      <c r="Z112" s="4"/>
      <c r="AA112" s="50"/>
    </row>
    <row r="113" spans="1:27" ht="24" hidden="1" customHeight="1" outlineLevel="1" x14ac:dyDescent="0.2">
      <c r="A113" s="51"/>
      <c r="B113" s="44"/>
      <c r="C113" s="52"/>
      <c r="D113" s="14"/>
      <c r="E113" s="139" t="s">
        <v>238</v>
      </c>
      <c r="F113" s="136"/>
      <c r="G113" s="136"/>
      <c r="H113" s="136"/>
      <c r="I113" s="15" t="s">
        <v>86</v>
      </c>
      <c r="J113" s="6" t="s">
        <v>84</v>
      </c>
      <c r="K113" s="6" t="s">
        <v>27</v>
      </c>
      <c r="L113" s="6" t="s">
        <v>13</v>
      </c>
      <c r="M113" s="19">
        <v>150</v>
      </c>
      <c r="N113" s="19">
        <v>-150</v>
      </c>
      <c r="O113" s="19">
        <f t="shared" si="37"/>
        <v>0</v>
      </c>
      <c r="P113" s="33">
        <v>0</v>
      </c>
      <c r="Q113" s="33"/>
      <c r="R113" s="33">
        <f t="shared" si="40"/>
        <v>0</v>
      </c>
      <c r="S113" s="33">
        <v>0</v>
      </c>
      <c r="T113" s="33">
        <f>174-32.2</f>
        <v>141.80000000000001</v>
      </c>
      <c r="U113" s="33">
        <f t="shared" si="41"/>
        <v>141.80000000000001</v>
      </c>
      <c r="V113" s="33">
        <f t="shared" si="38"/>
        <v>141.80000000000001</v>
      </c>
      <c r="W113" s="33"/>
      <c r="X113" s="33">
        <f t="shared" si="42"/>
        <v>141.80000000000001</v>
      </c>
      <c r="Y113" s="9"/>
      <c r="Z113" s="4"/>
      <c r="AA113" s="50"/>
    </row>
    <row r="114" spans="1:27" ht="40.5" customHeight="1" collapsed="1" x14ac:dyDescent="0.2">
      <c r="A114" s="51"/>
      <c r="B114" s="44"/>
      <c r="C114" s="52"/>
      <c r="D114" s="137" t="s">
        <v>340</v>
      </c>
      <c r="E114" s="138"/>
      <c r="F114" s="138"/>
      <c r="G114" s="138"/>
      <c r="H114" s="138"/>
      <c r="I114" s="84" t="s">
        <v>85</v>
      </c>
      <c r="J114" s="85" t="s">
        <v>84</v>
      </c>
      <c r="K114" s="85" t="s">
        <v>40</v>
      </c>
      <c r="L114" s="85" t="s">
        <v>4</v>
      </c>
      <c r="M114" s="86">
        <f>M115</f>
        <v>600</v>
      </c>
      <c r="N114" s="86">
        <f>N115</f>
        <v>-600</v>
      </c>
      <c r="O114" s="86">
        <f>SUM(M114:N114)</f>
        <v>0</v>
      </c>
      <c r="P114" s="87">
        <f>P115</f>
        <v>0</v>
      </c>
      <c r="Q114" s="87">
        <f>Q115</f>
        <v>1000</v>
      </c>
      <c r="R114" s="87">
        <f t="shared" si="40"/>
        <v>1000</v>
      </c>
      <c r="S114" s="87">
        <f>S115</f>
        <v>1000</v>
      </c>
      <c r="T114" s="87">
        <f>T115</f>
        <v>51.8</v>
      </c>
      <c r="U114" s="87">
        <f t="shared" si="41"/>
        <v>1051.8</v>
      </c>
      <c r="V114" s="87">
        <f t="shared" si="38"/>
        <v>1051.8</v>
      </c>
      <c r="W114" s="87">
        <f>W115</f>
        <v>0</v>
      </c>
      <c r="X114" s="87">
        <f t="shared" si="42"/>
        <v>1051.8</v>
      </c>
      <c r="Y114" s="88"/>
      <c r="Z114" s="4"/>
      <c r="AA114" s="50"/>
    </row>
    <row r="115" spans="1:27" ht="32.25" hidden="1" customHeight="1" outlineLevel="1" x14ac:dyDescent="0.2">
      <c r="A115" s="51"/>
      <c r="B115" s="44"/>
      <c r="C115" s="52"/>
      <c r="D115" s="14"/>
      <c r="E115" s="139" t="s">
        <v>239</v>
      </c>
      <c r="F115" s="136"/>
      <c r="G115" s="136"/>
      <c r="H115" s="136"/>
      <c r="I115" s="15" t="s">
        <v>85</v>
      </c>
      <c r="J115" s="6" t="s">
        <v>84</v>
      </c>
      <c r="K115" s="6" t="s">
        <v>40</v>
      </c>
      <c r="L115" s="6" t="s">
        <v>13</v>
      </c>
      <c r="M115" s="19">
        <v>600</v>
      </c>
      <c r="N115" s="19">
        <v>-600</v>
      </c>
      <c r="O115" s="19">
        <f>SUM(M115:N115)</f>
        <v>0</v>
      </c>
      <c r="P115" s="33">
        <v>0</v>
      </c>
      <c r="Q115" s="33">
        <f>1000</f>
        <v>1000</v>
      </c>
      <c r="R115" s="33">
        <f t="shared" si="40"/>
        <v>1000</v>
      </c>
      <c r="S115" s="33">
        <v>1000</v>
      </c>
      <c r="T115" s="33">
        <f>51.8</f>
        <v>51.8</v>
      </c>
      <c r="U115" s="33">
        <f t="shared" si="41"/>
        <v>1051.8</v>
      </c>
      <c r="V115" s="33">
        <f t="shared" si="38"/>
        <v>1051.8</v>
      </c>
      <c r="W115" s="33"/>
      <c r="X115" s="33">
        <f t="shared" si="42"/>
        <v>1051.8</v>
      </c>
      <c r="Y115" s="9"/>
      <c r="Z115" s="4"/>
      <c r="AA115" s="50"/>
    </row>
    <row r="116" spans="1:27" ht="26.25" customHeight="1" collapsed="1" x14ac:dyDescent="0.2">
      <c r="A116" s="51"/>
      <c r="B116" s="44"/>
      <c r="C116" s="52"/>
      <c r="D116" s="137" t="s">
        <v>334</v>
      </c>
      <c r="E116" s="138"/>
      <c r="F116" s="138"/>
      <c r="G116" s="138"/>
      <c r="H116" s="138"/>
      <c r="I116" s="84" t="s">
        <v>82</v>
      </c>
      <c r="J116" s="85" t="s">
        <v>84</v>
      </c>
      <c r="K116" s="85" t="s">
        <v>83</v>
      </c>
      <c r="L116" s="85" t="s">
        <v>4</v>
      </c>
      <c r="M116" s="86">
        <f>M117</f>
        <v>0</v>
      </c>
      <c r="N116" s="86">
        <f t="shared" ref="N116:X116" si="43">N117</f>
        <v>0</v>
      </c>
      <c r="O116" s="86">
        <f t="shared" si="43"/>
        <v>0</v>
      </c>
      <c r="P116" s="87">
        <f>P117</f>
        <v>0</v>
      </c>
      <c r="Q116" s="87">
        <f t="shared" si="43"/>
        <v>0</v>
      </c>
      <c r="R116" s="87">
        <f t="shared" si="43"/>
        <v>0</v>
      </c>
      <c r="S116" s="87">
        <f>S117</f>
        <v>0</v>
      </c>
      <c r="T116" s="87">
        <f t="shared" si="43"/>
        <v>0</v>
      </c>
      <c r="U116" s="87">
        <f t="shared" si="43"/>
        <v>0</v>
      </c>
      <c r="V116" s="87">
        <f t="shared" si="38"/>
        <v>0</v>
      </c>
      <c r="W116" s="87">
        <f t="shared" si="43"/>
        <v>0</v>
      </c>
      <c r="X116" s="87">
        <f t="shared" si="43"/>
        <v>0</v>
      </c>
      <c r="Y116" s="88"/>
      <c r="Z116" s="4"/>
      <c r="AA116" s="50"/>
    </row>
    <row r="117" spans="1:27" ht="37.5" hidden="1" customHeight="1" outlineLevel="1" x14ac:dyDescent="0.2">
      <c r="A117" s="51"/>
      <c r="B117" s="44"/>
      <c r="C117" s="52"/>
      <c r="D117" s="14"/>
      <c r="E117" s="136" t="s">
        <v>333</v>
      </c>
      <c r="F117" s="136"/>
      <c r="G117" s="136"/>
      <c r="H117" s="136"/>
      <c r="I117" s="15" t="s">
        <v>82</v>
      </c>
      <c r="J117" s="6" t="s">
        <v>84</v>
      </c>
      <c r="K117" s="6" t="s">
        <v>83</v>
      </c>
      <c r="L117" s="6" t="s">
        <v>13</v>
      </c>
      <c r="M117" s="19">
        <v>0</v>
      </c>
      <c r="N117" s="19"/>
      <c r="O117" s="19">
        <f t="shared" si="37"/>
        <v>0</v>
      </c>
      <c r="P117" s="33">
        <v>0</v>
      </c>
      <c r="Q117" s="33"/>
      <c r="R117" s="33">
        <f t="shared" ref="R117:R128" si="44">SUM(P117:Q117)</f>
        <v>0</v>
      </c>
      <c r="S117" s="33">
        <v>0</v>
      </c>
      <c r="T117" s="33"/>
      <c r="U117" s="33">
        <f t="shared" ref="U117:U128" si="45">SUM(S117:T117)</f>
        <v>0</v>
      </c>
      <c r="V117" s="33">
        <f t="shared" si="38"/>
        <v>0</v>
      </c>
      <c r="W117" s="33"/>
      <c r="X117" s="33">
        <f>SUM(V117:W117)</f>
        <v>0</v>
      </c>
      <c r="Y117" s="9"/>
      <c r="Z117" s="4"/>
      <c r="AA117" s="50"/>
    </row>
    <row r="118" spans="1:27" ht="35.25" customHeight="1" collapsed="1" x14ac:dyDescent="0.2">
      <c r="A118" s="51"/>
      <c r="B118" s="4"/>
      <c r="C118" s="53"/>
      <c r="D118" s="140" t="s">
        <v>323</v>
      </c>
      <c r="E118" s="141"/>
      <c r="F118" s="141"/>
      <c r="G118" s="141"/>
      <c r="H118" s="142"/>
      <c r="I118" s="68" t="s">
        <v>81</v>
      </c>
      <c r="J118" s="69" t="s">
        <v>80</v>
      </c>
      <c r="K118" s="69" t="s">
        <v>4</v>
      </c>
      <c r="L118" s="69" t="s">
        <v>4</v>
      </c>
      <c r="M118" s="71">
        <f>M119</f>
        <v>441.2</v>
      </c>
      <c r="N118" s="71">
        <f>N119</f>
        <v>0</v>
      </c>
      <c r="O118" s="78">
        <f>SUM(M118:N118)</f>
        <v>441.2</v>
      </c>
      <c r="P118" s="73">
        <f>P119</f>
        <v>441.2</v>
      </c>
      <c r="Q118" s="73">
        <f>Q119</f>
        <v>0</v>
      </c>
      <c r="R118" s="79">
        <f t="shared" si="44"/>
        <v>441.2</v>
      </c>
      <c r="S118" s="73">
        <f>S119</f>
        <v>441.2</v>
      </c>
      <c r="T118" s="73">
        <f>T119</f>
        <v>0</v>
      </c>
      <c r="U118" s="79">
        <f t="shared" si="45"/>
        <v>441.2</v>
      </c>
      <c r="V118" s="79">
        <f t="shared" si="38"/>
        <v>441.2</v>
      </c>
      <c r="W118" s="73">
        <f>W119</f>
        <v>0</v>
      </c>
      <c r="X118" s="79">
        <f>SUM(V118:W118)</f>
        <v>441.2</v>
      </c>
      <c r="Y118" s="74"/>
      <c r="Z118" s="4"/>
      <c r="AA118" s="50"/>
    </row>
    <row r="119" spans="1:27" ht="56.25" hidden="1" customHeight="1" outlineLevel="1" x14ac:dyDescent="0.2">
      <c r="A119" s="51"/>
      <c r="B119" s="44"/>
      <c r="C119" s="52"/>
      <c r="D119" s="14"/>
      <c r="E119" s="139" t="s">
        <v>294</v>
      </c>
      <c r="F119" s="136"/>
      <c r="G119" s="136"/>
      <c r="H119" s="136"/>
      <c r="I119" s="15" t="s">
        <v>81</v>
      </c>
      <c r="J119" s="6" t="s">
        <v>80</v>
      </c>
      <c r="K119" s="6" t="s">
        <v>2</v>
      </c>
      <c r="L119" s="6" t="s">
        <v>13</v>
      </c>
      <c r="M119" s="19">
        <v>441.2</v>
      </c>
      <c r="N119" s="19"/>
      <c r="O119" s="19">
        <f t="shared" si="37"/>
        <v>441.2</v>
      </c>
      <c r="P119" s="33">
        <v>441.2</v>
      </c>
      <c r="Q119" s="33"/>
      <c r="R119" s="33">
        <f t="shared" si="44"/>
        <v>441.2</v>
      </c>
      <c r="S119" s="33">
        <v>441.2</v>
      </c>
      <c r="T119" s="33"/>
      <c r="U119" s="33">
        <f t="shared" si="45"/>
        <v>441.2</v>
      </c>
      <c r="V119" s="33">
        <f t="shared" si="38"/>
        <v>441.2</v>
      </c>
      <c r="W119" s="33"/>
      <c r="X119" s="33">
        <f>SUM(V119:W119)</f>
        <v>441.2</v>
      </c>
      <c r="Y119" s="9"/>
      <c r="Z119" s="4"/>
      <c r="AA119" s="50"/>
    </row>
    <row r="120" spans="1:27" ht="66" customHeight="1" collapsed="1" x14ac:dyDescent="0.2">
      <c r="A120" s="51"/>
      <c r="B120" s="4"/>
      <c r="C120" s="53"/>
      <c r="D120" s="140" t="s">
        <v>335</v>
      </c>
      <c r="E120" s="141"/>
      <c r="F120" s="141"/>
      <c r="G120" s="141"/>
      <c r="H120" s="142"/>
      <c r="I120" s="68" t="s">
        <v>78</v>
      </c>
      <c r="J120" s="69" t="s">
        <v>79</v>
      </c>
      <c r="K120" s="80" t="s">
        <v>4</v>
      </c>
      <c r="L120" s="80" t="s">
        <v>4</v>
      </c>
      <c r="M120" s="81">
        <f>SUM(M121:M122)</f>
        <v>1507</v>
      </c>
      <c r="N120" s="81">
        <f>SUM(N121:N122)</f>
        <v>0</v>
      </c>
      <c r="O120" s="78">
        <f>SUM(M120:N120)</f>
        <v>1507</v>
      </c>
      <c r="P120" s="82">
        <f>SUM(P121:P122)</f>
        <v>1507</v>
      </c>
      <c r="Q120" s="82">
        <f>SUM(Q121:Q122)</f>
        <v>0</v>
      </c>
      <c r="R120" s="79">
        <f t="shared" si="44"/>
        <v>1507</v>
      </c>
      <c r="S120" s="82">
        <f>SUM(S121:S122)</f>
        <v>1507</v>
      </c>
      <c r="T120" s="82">
        <f>SUM(T121:T122)</f>
        <v>-149.80000000000001</v>
      </c>
      <c r="U120" s="79">
        <f t="shared" si="45"/>
        <v>1357.2</v>
      </c>
      <c r="V120" s="79">
        <f t="shared" si="38"/>
        <v>1357.2</v>
      </c>
      <c r="W120" s="82">
        <f>SUM(W121:W122)</f>
        <v>0</v>
      </c>
      <c r="X120" s="79">
        <v>1357.2</v>
      </c>
      <c r="Y120" s="74"/>
      <c r="Z120" s="4"/>
      <c r="AA120" s="50"/>
    </row>
    <row r="121" spans="1:27" ht="45" hidden="1" customHeight="1" outlineLevel="1" x14ac:dyDescent="0.2">
      <c r="A121" s="51"/>
      <c r="B121" s="44"/>
      <c r="C121" s="52"/>
      <c r="D121" s="14"/>
      <c r="E121" s="139" t="s">
        <v>240</v>
      </c>
      <c r="F121" s="136"/>
      <c r="G121" s="136"/>
      <c r="H121" s="136"/>
      <c r="I121" s="15" t="s">
        <v>78</v>
      </c>
      <c r="J121" s="6" t="s">
        <v>79</v>
      </c>
      <c r="K121" s="6" t="s">
        <v>2</v>
      </c>
      <c r="L121" s="6" t="s">
        <v>13</v>
      </c>
      <c r="M121" s="19">
        <v>1407</v>
      </c>
      <c r="N121" s="19"/>
      <c r="O121" s="18">
        <f t="shared" si="37"/>
        <v>1407</v>
      </c>
      <c r="P121" s="33">
        <v>1407</v>
      </c>
      <c r="Q121" s="33">
        <v>-305.5</v>
      </c>
      <c r="R121" s="34">
        <f t="shared" si="44"/>
        <v>1101.5</v>
      </c>
      <c r="S121" s="33">
        <v>1101.5</v>
      </c>
      <c r="T121" s="33">
        <f>126.1-75</f>
        <v>51.099999999999994</v>
      </c>
      <c r="U121" s="34">
        <f t="shared" si="45"/>
        <v>1152.5999999999999</v>
      </c>
      <c r="V121" s="34">
        <f t="shared" si="38"/>
        <v>1152.5999999999999</v>
      </c>
      <c r="W121" s="33"/>
      <c r="X121" s="34">
        <f>SUM(V121:W121)</f>
        <v>1152.5999999999999</v>
      </c>
      <c r="Y121" s="100"/>
      <c r="Z121" s="4"/>
      <c r="AA121" s="50"/>
    </row>
    <row r="122" spans="1:27" ht="105" hidden="1" customHeight="1" outlineLevel="1" x14ac:dyDescent="0.2">
      <c r="A122" s="51"/>
      <c r="B122" s="44"/>
      <c r="C122" s="52"/>
      <c r="D122" s="14"/>
      <c r="E122" s="136" t="s">
        <v>347</v>
      </c>
      <c r="F122" s="136"/>
      <c r="G122" s="136"/>
      <c r="H122" s="136"/>
      <c r="I122" s="15">
        <v>1600200000</v>
      </c>
      <c r="J122" s="6">
        <v>16</v>
      </c>
      <c r="K122" s="6">
        <v>0</v>
      </c>
      <c r="L122" s="11" t="s">
        <v>11</v>
      </c>
      <c r="M122" s="19">
        <v>100</v>
      </c>
      <c r="N122" s="19"/>
      <c r="O122" s="18">
        <f t="shared" si="37"/>
        <v>100</v>
      </c>
      <c r="P122" s="33">
        <v>100</v>
      </c>
      <c r="Q122" s="33">
        <v>305.5</v>
      </c>
      <c r="R122" s="34">
        <f t="shared" si="44"/>
        <v>405.5</v>
      </c>
      <c r="S122" s="33">
        <v>405.5</v>
      </c>
      <c r="T122" s="33">
        <f>-126.1-43-31.8</f>
        <v>-200.9</v>
      </c>
      <c r="U122" s="34">
        <f t="shared" si="45"/>
        <v>204.6</v>
      </c>
      <c r="V122" s="34">
        <f t="shared" si="38"/>
        <v>204.6</v>
      </c>
      <c r="W122" s="33"/>
      <c r="X122" s="34">
        <f>SUM(V122:W122)</f>
        <v>204.6</v>
      </c>
      <c r="Y122" s="100"/>
      <c r="Z122" s="4"/>
      <c r="AA122" s="50"/>
    </row>
    <row r="123" spans="1:27" ht="51" customHeight="1" collapsed="1" x14ac:dyDescent="0.2">
      <c r="A123" s="51"/>
      <c r="B123" s="4"/>
      <c r="C123" s="53"/>
      <c r="D123" s="140" t="s">
        <v>341</v>
      </c>
      <c r="E123" s="141"/>
      <c r="F123" s="141"/>
      <c r="G123" s="141"/>
      <c r="H123" s="142"/>
      <c r="I123" s="68" t="s">
        <v>77</v>
      </c>
      <c r="J123" s="69" t="s">
        <v>71</v>
      </c>
      <c r="K123" s="69" t="s">
        <v>4</v>
      </c>
      <c r="L123" s="69" t="s">
        <v>4</v>
      </c>
      <c r="M123" s="71">
        <f>M124+M129</f>
        <v>3457.9</v>
      </c>
      <c r="N123" s="71">
        <f>N124+N129</f>
        <v>3000</v>
      </c>
      <c r="O123" s="78">
        <f>SUM(M123:N123)</f>
        <v>6457.9</v>
      </c>
      <c r="P123" s="73">
        <f>P124+P129</f>
        <v>6457.9</v>
      </c>
      <c r="Q123" s="73">
        <f>Q124+Q129</f>
        <v>-5.6621374255882984E-15</v>
      </c>
      <c r="R123" s="79">
        <f t="shared" si="44"/>
        <v>6457.9</v>
      </c>
      <c r="S123" s="73">
        <f>S124+S129</f>
        <v>6457.9000000000005</v>
      </c>
      <c r="T123" s="73">
        <f>T124+T129</f>
        <v>-3620.7999999999997</v>
      </c>
      <c r="U123" s="79">
        <f t="shared" si="45"/>
        <v>2837.1000000000008</v>
      </c>
      <c r="V123" s="79">
        <f t="shared" si="38"/>
        <v>2837.1000000000008</v>
      </c>
      <c r="W123" s="73">
        <f>W124+W129</f>
        <v>0</v>
      </c>
      <c r="X123" s="79">
        <v>2837.1000000000008</v>
      </c>
      <c r="Y123" s="75"/>
      <c r="Z123" s="4"/>
      <c r="AA123" s="50"/>
    </row>
    <row r="124" spans="1:27" x14ac:dyDescent="0.2">
      <c r="A124" s="51"/>
      <c r="B124" s="44"/>
      <c r="C124" s="52"/>
      <c r="D124" s="143" t="s">
        <v>241</v>
      </c>
      <c r="E124" s="138"/>
      <c r="F124" s="138"/>
      <c r="G124" s="138"/>
      <c r="H124" s="138"/>
      <c r="I124" s="84" t="s">
        <v>76</v>
      </c>
      <c r="J124" s="85" t="s">
        <v>71</v>
      </c>
      <c r="K124" s="85" t="s">
        <v>23</v>
      </c>
      <c r="L124" s="85" t="s">
        <v>4</v>
      </c>
      <c r="M124" s="86">
        <f>M125+M126+M127+M128</f>
        <v>3147.9</v>
      </c>
      <c r="N124" s="86">
        <f>N125+N126+N127+N128</f>
        <v>3000</v>
      </c>
      <c r="O124" s="86">
        <f>SUM(M124:N124)</f>
        <v>6147.9</v>
      </c>
      <c r="P124" s="87">
        <f>P125+P126+P127+P128</f>
        <v>6147.9</v>
      </c>
      <c r="Q124" s="87">
        <f>Q125+Q126+Q127+Q128</f>
        <v>0.4</v>
      </c>
      <c r="R124" s="87">
        <f t="shared" si="44"/>
        <v>6148.2999999999993</v>
      </c>
      <c r="S124" s="87">
        <f>S125+S126+S127+S128</f>
        <v>6148.3</v>
      </c>
      <c r="T124" s="87">
        <f>T125+T126+T127+T128</f>
        <v>-3860.7999999999997</v>
      </c>
      <c r="U124" s="87">
        <f t="shared" si="45"/>
        <v>2287.5000000000005</v>
      </c>
      <c r="V124" s="87">
        <f t="shared" si="38"/>
        <v>2287.5000000000005</v>
      </c>
      <c r="W124" s="87">
        <f>W125+W126+W127+W128</f>
        <v>0</v>
      </c>
      <c r="X124" s="87">
        <v>2287.5000000000005</v>
      </c>
      <c r="Y124" s="88"/>
      <c r="Z124" s="4"/>
      <c r="AA124" s="50"/>
    </row>
    <row r="125" spans="1:27" ht="95.25" hidden="1" customHeight="1" outlineLevel="1" x14ac:dyDescent="0.2">
      <c r="A125" s="51"/>
      <c r="B125" s="44"/>
      <c r="C125" s="52"/>
      <c r="D125" s="14"/>
      <c r="E125" s="139" t="s">
        <v>242</v>
      </c>
      <c r="F125" s="136"/>
      <c r="G125" s="136"/>
      <c r="H125" s="136"/>
      <c r="I125" s="15" t="s">
        <v>75</v>
      </c>
      <c r="J125" s="6" t="s">
        <v>71</v>
      </c>
      <c r="K125" s="6" t="s">
        <v>23</v>
      </c>
      <c r="L125" s="6" t="s">
        <v>13</v>
      </c>
      <c r="M125" s="19">
        <v>127.9</v>
      </c>
      <c r="N125" s="19"/>
      <c r="O125" s="19">
        <f t="shared" ref="O125:O130" si="46">SUM(M125:N125)</f>
        <v>127.9</v>
      </c>
      <c r="P125" s="33">
        <v>127.9</v>
      </c>
      <c r="Q125" s="33">
        <v>0.4</v>
      </c>
      <c r="R125" s="33">
        <f t="shared" si="44"/>
        <v>128.30000000000001</v>
      </c>
      <c r="S125" s="33">
        <v>128.30000000000001</v>
      </c>
      <c r="T125" s="33">
        <f>-0.4+108.7+46.6</f>
        <v>154.9</v>
      </c>
      <c r="U125" s="34">
        <f t="shared" si="45"/>
        <v>283.20000000000005</v>
      </c>
      <c r="V125" s="34">
        <f t="shared" si="38"/>
        <v>283.20000000000005</v>
      </c>
      <c r="W125" s="33"/>
      <c r="X125" s="34">
        <f>SUM(V125:W125)</f>
        <v>283.20000000000005</v>
      </c>
      <c r="Y125" s="109"/>
      <c r="Z125" s="4"/>
      <c r="AA125" s="50"/>
    </row>
    <row r="126" spans="1:27" ht="49.5" hidden="1" customHeight="1" outlineLevel="1" x14ac:dyDescent="0.2">
      <c r="A126" s="51"/>
      <c r="B126" s="44"/>
      <c r="C126" s="52"/>
      <c r="D126" s="14"/>
      <c r="E126" s="139" t="s">
        <v>243</v>
      </c>
      <c r="F126" s="136"/>
      <c r="G126" s="136"/>
      <c r="H126" s="136"/>
      <c r="I126" s="15" t="s">
        <v>74</v>
      </c>
      <c r="J126" s="6" t="s">
        <v>71</v>
      </c>
      <c r="K126" s="6" t="s">
        <v>23</v>
      </c>
      <c r="L126" s="6" t="s">
        <v>11</v>
      </c>
      <c r="M126" s="19">
        <v>0</v>
      </c>
      <c r="N126" s="19"/>
      <c r="O126" s="19">
        <f t="shared" si="46"/>
        <v>0</v>
      </c>
      <c r="P126" s="33">
        <v>0</v>
      </c>
      <c r="Q126" s="33"/>
      <c r="R126" s="33">
        <f t="shared" si="44"/>
        <v>0</v>
      </c>
      <c r="S126" s="33">
        <v>0</v>
      </c>
      <c r="T126" s="33"/>
      <c r="U126" s="33">
        <f t="shared" si="45"/>
        <v>0</v>
      </c>
      <c r="V126" s="33">
        <f t="shared" si="38"/>
        <v>0</v>
      </c>
      <c r="W126" s="33"/>
      <c r="X126" s="33">
        <f>SUM(V126:W126)</f>
        <v>0</v>
      </c>
      <c r="Y126" s="9"/>
      <c r="Z126" s="4"/>
      <c r="AA126" s="50"/>
    </row>
    <row r="127" spans="1:27" ht="78.75" hidden="1" customHeight="1" outlineLevel="1" x14ac:dyDescent="0.2">
      <c r="A127" s="51"/>
      <c r="B127" s="44"/>
      <c r="C127" s="52"/>
      <c r="D127" s="14"/>
      <c r="E127" s="139" t="s">
        <v>244</v>
      </c>
      <c r="F127" s="136"/>
      <c r="G127" s="136"/>
      <c r="H127" s="136"/>
      <c r="I127" s="15" t="s">
        <v>73</v>
      </c>
      <c r="J127" s="6" t="s">
        <v>71</v>
      </c>
      <c r="K127" s="6" t="s">
        <v>23</v>
      </c>
      <c r="L127" s="6" t="s">
        <v>26</v>
      </c>
      <c r="M127" s="19">
        <v>3000</v>
      </c>
      <c r="N127" s="19">
        <v>3000</v>
      </c>
      <c r="O127" s="19">
        <f t="shared" si="46"/>
        <v>6000</v>
      </c>
      <c r="P127" s="33">
        <v>6000</v>
      </c>
      <c r="Q127" s="33"/>
      <c r="R127" s="33">
        <f t="shared" si="44"/>
        <v>6000</v>
      </c>
      <c r="S127" s="33">
        <v>6000</v>
      </c>
      <c r="T127" s="33">
        <f>-3900-46.6-69.1</f>
        <v>-4015.7</v>
      </c>
      <c r="U127" s="33">
        <f t="shared" si="45"/>
        <v>1984.3000000000002</v>
      </c>
      <c r="V127" s="33">
        <f t="shared" si="38"/>
        <v>1984.3000000000002</v>
      </c>
      <c r="W127" s="33"/>
      <c r="X127" s="33">
        <f>SUM(V127:W127)</f>
        <v>1984.3000000000002</v>
      </c>
      <c r="Y127" s="9"/>
      <c r="Z127" s="4"/>
      <c r="AA127" s="50"/>
    </row>
    <row r="128" spans="1:27" ht="24.75" hidden="1" customHeight="1" outlineLevel="1" x14ac:dyDescent="0.2">
      <c r="A128" s="51"/>
      <c r="B128" s="44"/>
      <c r="C128" s="52"/>
      <c r="D128" s="14"/>
      <c r="E128" s="139" t="s">
        <v>245</v>
      </c>
      <c r="F128" s="136"/>
      <c r="G128" s="136"/>
      <c r="H128" s="136"/>
      <c r="I128" s="15" t="s">
        <v>72</v>
      </c>
      <c r="J128" s="6" t="s">
        <v>71</v>
      </c>
      <c r="K128" s="6" t="s">
        <v>23</v>
      </c>
      <c r="L128" s="6" t="s">
        <v>10</v>
      </c>
      <c r="M128" s="19">
        <v>20</v>
      </c>
      <c r="N128" s="19"/>
      <c r="O128" s="19">
        <f t="shared" si="46"/>
        <v>20</v>
      </c>
      <c r="P128" s="33">
        <v>20</v>
      </c>
      <c r="Q128" s="33"/>
      <c r="R128" s="33">
        <f t="shared" si="44"/>
        <v>20</v>
      </c>
      <c r="S128" s="33">
        <v>20</v>
      </c>
      <c r="T128" s="33"/>
      <c r="U128" s="33">
        <f t="shared" si="45"/>
        <v>20</v>
      </c>
      <c r="V128" s="33">
        <f t="shared" si="38"/>
        <v>20</v>
      </c>
      <c r="W128" s="33"/>
      <c r="X128" s="33">
        <f>SUM(V128:W128)</f>
        <v>20</v>
      </c>
      <c r="Y128" s="9"/>
      <c r="Z128" s="4"/>
      <c r="AA128" s="50"/>
    </row>
    <row r="129" spans="1:32" ht="42.75" customHeight="1" collapsed="1" x14ac:dyDescent="0.2">
      <c r="A129" s="51"/>
      <c r="B129" s="44"/>
      <c r="C129" s="52"/>
      <c r="D129" s="143" t="s">
        <v>246</v>
      </c>
      <c r="E129" s="138"/>
      <c r="F129" s="138"/>
      <c r="G129" s="138"/>
      <c r="H129" s="138"/>
      <c r="I129" s="84" t="s">
        <v>70</v>
      </c>
      <c r="J129" s="85" t="s">
        <v>71</v>
      </c>
      <c r="K129" s="85" t="s">
        <v>18</v>
      </c>
      <c r="L129" s="85" t="s">
        <v>4</v>
      </c>
      <c r="M129" s="86">
        <f>M130</f>
        <v>310</v>
      </c>
      <c r="N129" s="86">
        <f>N130</f>
        <v>0</v>
      </c>
      <c r="O129" s="86">
        <f>O130</f>
        <v>310</v>
      </c>
      <c r="P129" s="87">
        <f t="shared" ref="P129:U129" si="47">P130+P131+P132</f>
        <v>310</v>
      </c>
      <c r="Q129" s="87">
        <f t="shared" si="47"/>
        <v>-0.40000000000000568</v>
      </c>
      <c r="R129" s="87">
        <f t="shared" si="47"/>
        <v>309.60000000000002</v>
      </c>
      <c r="S129" s="87">
        <f t="shared" si="47"/>
        <v>309.60000000000002</v>
      </c>
      <c r="T129" s="87">
        <f t="shared" si="47"/>
        <v>240</v>
      </c>
      <c r="U129" s="87">
        <f t="shared" si="47"/>
        <v>549.6</v>
      </c>
      <c r="V129" s="87">
        <f t="shared" si="38"/>
        <v>549.6</v>
      </c>
      <c r="W129" s="87">
        <f>W130+W131+W132</f>
        <v>0</v>
      </c>
      <c r="X129" s="87">
        <v>549.6</v>
      </c>
      <c r="Y129" s="88"/>
      <c r="Z129" s="4"/>
      <c r="AA129" s="50"/>
    </row>
    <row r="130" spans="1:32" ht="51" hidden="1" customHeight="1" outlineLevel="1" x14ac:dyDescent="0.2">
      <c r="A130" s="51"/>
      <c r="B130" s="44"/>
      <c r="C130" s="52"/>
      <c r="D130" s="14"/>
      <c r="E130" s="139" t="s">
        <v>247</v>
      </c>
      <c r="F130" s="136"/>
      <c r="G130" s="136"/>
      <c r="H130" s="136"/>
      <c r="I130" s="15" t="s">
        <v>70</v>
      </c>
      <c r="J130" s="6" t="s">
        <v>71</v>
      </c>
      <c r="K130" s="6" t="s">
        <v>18</v>
      </c>
      <c r="L130" s="6" t="s">
        <v>13</v>
      </c>
      <c r="M130" s="19">
        <v>310</v>
      </c>
      <c r="N130" s="19"/>
      <c r="O130" s="19">
        <f t="shared" si="46"/>
        <v>310</v>
      </c>
      <c r="P130" s="33">
        <v>310</v>
      </c>
      <c r="Q130" s="33">
        <f>-0.4-259.6</f>
        <v>-260</v>
      </c>
      <c r="R130" s="33">
        <f t="shared" ref="R130:R145" si="48">SUM(P130:Q130)</f>
        <v>50</v>
      </c>
      <c r="S130" s="33">
        <v>50</v>
      </c>
      <c r="T130" s="33">
        <v>240</v>
      </c>
      <c r="U130" s="33">
        <f t="shared" ref="U130:U145" si="49">SUM(S130:T130)</f>
        <v>290</v>
      </c>
      <c r="V130" s="33">
        <f t="shared" si="38"/>
        <v>290</v>
      </c>
      <c r="W130" s="33"/>
      <c r="X130" s="33">
        <f t="shared" ref="X130:X143" si="50">SUM(V130:W130)</f>
        <v>290</v>
      </c>
      <c r="Y130" s="9"/>
      <c r="Z130" s="4"/>
      <c r="AA130" s="50"/>
    </row>
    <row r="131" spans="1:32" ht="32.25" hidden="1" customHeight="1" outlineLevel="1" x14ac:dyDescent="0.2">
      <c r="A131" s="51"/>
      <c r="B131" s="4"/>
      <c r="C131" s="54"/>
      <c r="D131" s="14"/>
      <c r="E131" s="147" t="s">
        <v>359</v>
      </c>
      <c r="F131" s="147"/>
      <c r="G131" s="147"/>
      <c r="H131" s="148"/>
      <c r="I131" s="15"/>
      <c r="J131" s="6">
        <v>17</v>
      </c>
      <c r="K131" s="6">
        <v>2</v>
      </c>
      <c r="L131" s="11" t="s">
        <v>11</v>
      </c>
      <c r="M131" s="19"/>
      <c r="N131" s="19"/>
      <c r="O131" s="19"/>
      <c r="P131" s="33">
        <v>0</v>
      </c>
      <c r="Q131" s="33">
        <v>159.6</v>
      </c>
      <c r="R131" s="33">
        <f t="shared" si="48"/>
        <v>159.6</v>
      </c>
      <c r="S131" s="33">
        <v>159.6</v>
      </c>
      <c r="T131" s="33"/>
      <c r="U131" s="33">
        <f t="shared" si="49"/>
        <v>159.6</v>
      </c>
      <c r="V131" s="33">
        <f t="shared" si="38"/>
        <v>159.6</v>
      </c>
      <c r="W131" s="33"/>
      <c r="X131" s="33">
        <f t="shared" si="50"/>
        <v>159.6</v>
      </c>
      <c r="Y131" s="31"/>
      <c r="Z131" s="4"/>
      <c r="AA131" s="50"/>
    </row>
    <row r="132" spans="1:32" ht="32.25" hidden="1" customHeight="1" outlineLevel="1" x14ac:dyDescent="0.2">
      <c r="A132" s="51"/>
      <c r="B132" s="4"/>
      <c r="C132" s="54"/>
      <c r="D132" s="14"/>
      <c r="E132" s="147" t="s">
        <v>360</v>
      </c>
      <c r="F132" s="147"/>
      <c r="G132" s="147"/>
      <c r="H132" s="148"/>
      <c r="I132" s="15"/>
      <c r="J132" s="6">
        <v>17</v>
      </c>
      <c r="K132" s="6">
        <v>2</v>
      </c>
      <c r="L132" s="11" t="s">
        <v>10</v>
      </c>
      <c r="M132" s="19"/>
      <c r="N132" s="19"/>
      <c r="O132" s="19"/>
      <c r="P132" s="33">
        <v>0</v>
      </c>
      <c r="Q132" s="33">
        <v>100</v>
      </c>
      <c r="R132" s="33">
        <f t="shared" si="48"/>
        <v>100</v>
      </c>
      <c r="S132" s="33">
        <v>100</v>
      </c>
      <c r="T132" s="33"/>
      <c r="U132" s="33">
        <f t="shared" si="49"/>
        <v>100</v>
      </c>
      <c r="V132" s="33">
        <f t="shared" si="38"/>
        <v>100</v>
      </c>
      <c r="W132" s="33"/>
      <c r="X132" s="33">
        <f t="shared" si="50"/>
        <v>100</v>
      </c>
      <c r="Y132" s="31"/>
      <c r="Z132" s="4"/>
      <c r="AA132" s="50"/>
    </row>
    <row r="133" spans="1:32" ht="35.25" customHeight="1" collapsed="1" x14ac:dyDescent="0.2">
      <c r="A133" s="51"/>
      <c r="B133" s="4"/>
      <c r="C133" s="53"/>
      <c r="D133" s="140" t="s">
        <v>307</v>
      </c>
      <c r="E133" s="141"/>
      <c r="F133" s="141"/>
      <c r="G133" s="141"/>
      <c r="H133" s="142"/>
      <c r="I133" s="68" t="s">
        <v>69</v>
      </c>
      <c r="J133" s="69" t="s">
        <v>60</v>
      </c>
      <c r="K133" s="69" t="s">
        <v>4</v>
      </c>
      <c r="L133" s="69" t="s">
        <v>4</v>
      </c>
      <c r="M133" s="71">
        <f>M134+M139+M141</f>
        <v>466.8</v>
      </c>
      <c r="N133" s="71">
        <f>N134+N139+N141</f>
        <v>793.8</v>
      </c>
      <c r="O133" s="78">
        <f>SUM(M133:N133)</f>
        <v>1260.5999999999999</v>
      </c>
      <c r="P133" s="73">
        <f>P134+P139+P141</f>
        <v>1260.5999999999999</v>
      </c>
      <c r="Q133" s="73">
        <f>Q134+Q139+Q141</f>
        <v>0</v>
      </c>
      <c r="R133" s="79">
        <f t="shared" si="48"/>
        <v>1260.5999999999999</v>
      </c>
      <c r="S133" s="73">
        <f>S134+S139+S141</f>
        <v>1260.5999999999999</v>
      </c>
      <c r="T133" s="73">
        <f>T134+T139+T141</f>
        <v>1364.1</v>
      </c>
      <c r="U133" s="79">
        <f t="shared" si="49"/>
        <v>2624.7</v>
      </c>
      <c r="V133" s="79">
        <f>SUM(S133:T133)-0.1</f>
        <v>2624.6</v>
      </c>
      <c r="W133" s="73">
        <f>W134+W139+W141</f>
        <v>-208.3</v>
      </c>
      <c r="X133" s="79">
        <f>SUM(V133:W133)</f>
        <v>2416.2999999999997</v>
      </c>
      <c r="Y133" s="75"/>
      <c r="Z133" s="4"/>
      <c r="AA133" s="50"/>
    </row>
    <row r="134" spans="1:32" ht="63" customHeight="1" x14ac:dyDescent="0.2">
      <c r="A134" s="51"/>
      <c r="B134" s="44"/>
      <c r="C134" s="52"/>
      <c r="D134" s="143" t="s">
        <v>248</v>
      </c>
      <c r="E134" s="138"/>
      <c r="F134" s="138"/>
      <c r="G134" s="138"/>
      <c r="H134" s="138"/>
      <c r="I134" s="84" t="s">
        <v>68</v>
      </c>
      <c r="J134" s="85" t="s">
        <v>60</v>
      </c>
      <c r="K134" s="85" t="s">
        <v>23</v>
      </c>
      <c r="L134" s="85" t="s">
        <v>4</v>
      </c>
      <c r="M134" s="86">
        <f>M135+M136+M137+M138</f>
        <v>246.8</v>
      </c>
      <c r="N134" s="86">
        <f>N135+N136+N137+N138</f>
        <v>0</v>
      </c>
      <c r="O134" s="86">
        <f>SUM(M134:N134)</f>
        <v>246.8</v>
      </c>
      <c r="P134" s="87">
        <f>P135+P136+P137+P138</f>
        <v>246.8</v>
      </c>
      <c r="Q134" s="87">
        <f>Q135+Q136+Q137+Q138</f>
        <v>0</v>
      </c>
      <c r="R134" s="87">
        <f t="shared" si="48"/>
        <v>246.8</v>
      </c>
      <c r="S134" s="87">
        <f>S135+S136+S137+S138</f>
        <v>246.8</v>
      </c>
      <c r="T134" s="87">
        <f>T135+T136+T137+T138</f>
        <v>0</v>
      </c>
      <c r="U134" s="87">
        <f t="shared" si="49"/>
        <v>246.8</v>
      </c>
      <c r="V134" s="87">
        <f t="shared" si="38"/>
        <v>246.8</v>
      </c>
      <c r="W134" s="87">
        <f>W135+W136+W137+W138</f>
        <v>0</v>
      </c>
      <c r="X134" s="87">
        <f t="shared" si="50"/>
        <v>246.8</v>
      </c>
      <c r="Y134" s="88"/>
      <c r="Z134" s="4"/>
      <c r="AA134" s="50"/>
    </row>
    <row r="135" spans="1:32" ht="46.5" hidden="1" customHeight="1" outlineLevel="1" x14ac:dyDescent="0.2">
      <c r="A135" s="51"/>
      <c r="B135" s="44"/>
      <c r="C135" s="52"/>
      <c r="D135" s="14"/>
      <c r="E135" s="139" t="s">
        <v>249</v>
      </c>
      <c r="F135" s="136"/>
      <c r="G135" s="136"/>
      <c r="H135" s="136"/>
      <c r="I135" s="15" t="s">
        <v>67</v>
      </c>
      <c r="J135" s="6" t="s">
        <v>60</v>
      </c>
      <c r="K135" s="6" t="s">
        <v>23</v>
      </c>
      <c r="L135" s="6" t="s">
        <v>13</v>
      </c>
      <c r="M135" s="19">
        <v>50</v>
      </c>
      <c r="N135" s="19"/>
      <c r="O135" s="19">
        <f t="shared" ref="O135:O143" si="51">SUM(M135:N135)</f>
        <v>50</v>
      </c>
      <c r="P135" s="33">
        <v>50</v>
      </c>
      <c r="Q135" s="33"/>
      <c r="R135" s="33">
        <f t="shared" si="48"/>
        <v>50</v>
      </c>
      <c r="S135" s="33">
        <v>50</v>
      </c>
      <c r="T135" s="33"/>
      <c r="U135" s="33">
        <f t="shared" si="49"/>
        <v>50</v>
      </c>
      <c r="V135" s="33">
        <f t="shared" si="38"/>
        <v>50</v>
      </c>
      <c r="W135" s="33"/>
      <c r="X135" s="33">
        <f t="shared" si="50"/>
        <v>50</v>
      </c>
      <c r="Y135" s="9"/>
      <c r="Z135" s="4"/>
      <c r="AA135" s="50"/>
    </row>
    <row r="136" spans="1:32" ht="45" hidden="1" customHeight="1" outlineLevel="1" x14ac:dyDescent="0.2">
      <c r="A136" s="51"/>
      <c r="B136" s="44"/>
      <c r="C136" s="52"/>
      <c r="D136" s="14"/>
      <c r="E136" s="139" t="s">
        <v>250</v>
      </c>
      <c r="F136" s="136"/>
      <c r="G136" s="136"/>
      <c r="H136" s="136"/>
      <c r="I136" s="15" t="s">
        <v>66</v>
      </c>
      <c r="J136" s="6" t="s">
        <v>60</v>
      </c>
      <c r="K136" s="6" t="s">
        <v>23</v>
      </c>
      <c r="L136" s="6" t="s">
        <v>11</v>
      </c>
      <c r="M136" s="19">
        <v>30</v>
      </c>
      <c r="N136" s="19"/>
      <c r="O136" s="19">
        <f t="shared" si="51"/>
        <v>30</v>
      </c>
      <c r="P136" s="33">
        <v>30</v>
      </c>
      <c r="Q136" s="33"/>
      <c r="R136" s="33">
        <f t="shared" si="48"/>
        <v>30</v>
      </c>
      <c r="S136" s="33">
        <v>30</v>
      </c>
      <c r="T136" s="33"/>
      <c r="U136" s="33">
        <f t="shared" si="49"/>
        <v>30</v>
      </c>
      <c r="V136" s="33">
        <f t="shared" si="38"/>
        <v>30</v>
      </c>
      <c r="W136" s="33"/>
      <c r="X136" s="33">
        <f t="shared" si="50"/>
        <v>30</v>
      </c>
      <c r="Y136" s="9"/>
      <c r="Z136" s="4"/>
      <c r="AA136" s="50"/>
    </row>
    <row r="137" spans="1:32" ht="48.75" hidden="1" customHeight="1" outlineLevel="1" x14ac:dyDescent="0.2">
      <c r="A137" s="51"/>
      <c r="B137" s="44"/>
      <c r="C137" s="52"/>
      <c r="D137" s="14"/>
      <c r="E137" s="139" t="s">
        <v>251</v>
      </c>
      <c r="F137" s="136"/>
      <c r="G137" s="136"/>
      <c r="H137" s="136"/>
      <c r="I137" s="15" t="s">
        <v>65</v>
      </c>
      <c r="J137" s="6" t="s">
        <v>60</v>
      </c>
      <c r="K137" s="6" t="s">
        <v>23</v>
      </c>
      <c r="L137" s="6" t="s">
        <v>26</v>
      </c>
      <c r="M137" s="19">
        <v>0</v>
      </c>
      <c r="N137" s="19"/>
      <c r="O137" s="19">
        <f t="shared" si="51"/>
        <v>0</v>
      </c>
      <c r="P137" s="33">
        <v>0</v>
      </c>
      <c r="Q137" s="33"/>
      <c r="R137" s="33">
        <f t="shared" si="48"/>
        <v>0</v>
      </c>
      <c r="S137" s="33">
        <v>0</v>
      </c>
      <c r="T137" s="33"/>
      <c r="U137" s="33">
        <f t="shared" si="49"/>
        <v>0</v>
      </c>
      <c r="V137" s="33">
        <f t="shared" ref="V137:V143" si="52">SUM(S137:T137)</f>
        <v>0</v>
      </c>
      <c r="W137" s="33"/>
      <c r="X137" s="33">
        <f t="shared" si="50"/>
        <v>0</v>
      </c>
      <c r="Y137" s="9"/>
      <c r="Z137" s="4"/>
      <c r="AA137" s="50"/>
    </row>
    <row r="138" spans="1:32" ht="46.5" hidden="1" customHeight="1" outlineLevel="1" x14ac:dyDescent="0.2">
      <c r="A138" s="51"/>
      <c r="B138" s="44"/>
      <c r="C138" s="52"/>
      <c r="D138" s="14"/>
      <c r="E138" s="139" t="s">
        <v>252</v>
      </c>
      <c r="F138" s="136"/>
      <c r="G138" s="136"/>
      <c r="H138" s="136"/>
      <c r="I138" s="15" t="s">
        <v>64</v>
      </c>
      <c r="J138" s="6" t="s">
        <v>60</v>
      </c>
      <c r="K138" s="6" t="s">
        <v>23</v>
      </c>
      <c r="L138" s="6" t="s">
        <v>7</v>
      </c>
      <c r="M138" s="19">
        <v>166.8</v>
      </c>
      <c r="N138" s="19"/>
      <c r="O138" s="19">
        <f t="shared" si="51"/>
        <v>166.8</v>
      </c>
      <c r="P138" s="33">
        <v>166.8</v>
      </c>
      <c r="Q138" s="33"/>
      <c r="R138" s="33">
        <f t="shared" si="48"/>
        <v>166.8</v>
      </c>
      <c r="S138" s="33">
        <v>166.8</v>
      </c>
      <c r="T138" s="33"/>
      <c r="U138" s="33">
        <f t="shared" si="49"/>
        <v>166.8</v>
      </c>
      <c r="V138" s="33">
        <f t="shared" si="52"/>
        <v>166.8</v>
      </c>
      <c r="W138" s="33"/>
      <c r="X138" s="33">
        <f t="shared" si="50"/>
        <v>166.8</v>
      </c>
      <c r="Y138" s="9"/>
      <c r="Z138" s="4"/>
      <c r="AA138" s="50"/>
    </row>
    <row r="139" spans="1:32" ht="33.75" customHeight="1" collapsed="1" x14ac:dyDescent="0.2">
      <c r="A139" s="51"/>
      <c r="B139" s="44"/>
      <c r="C139" s="52"/>
      <c r="D139" s="143" t="s">
        <v>253</v>
      </c>
      <c r="E139" s="138"/>
      <c r="F139" s="138"/>
      <c r="G139" s="138"/>
      <c r="H139" s="138"/>
      <c r="I139" s="84" t="s">
        <v>63</v>
      </c>
      <c r="J139" s="85" t="s">
        <v>60</v>
      </c>
      <c r="K139" s="85" t="s">
        <v>18</v>
      </c>
      <c r="L139" s="85" t="s">
        <v>4</v>
      </c>
      <c r="M139" s="86">
        <f>M140</f>
        <v>100</v>
      </c>
      <c r="N139" s="86">
        <f>N140</f>
        <v>0</v>
      </c>
      <c r="O139" s="86">
        <f>SUM(M139:N139)</f>
        <v>100</v>
      </c>
      <c r="P139" s="87">
        <f>P140</f>
        <v>100</v>
      </c>
      <c r="Q139" s="87">
        <f>Q140</f>
        <v>0</v>
      </c>
      <c r="R139" s="87">
        <f t="shared" si="48"/>
        <v>100</v>
      </c>
      <c r="S139" s="87">
        <f>S140</f>
        <v>100</v>
      </c>
      <c r="T139" s="87">
        <f>T140</f>
        <v>0</v>
      </c>
      <c r="U139" s="87">
        <f t="shared" si="49"/>
        <v>100</v>
      </c>
      <c r="V139" s="87">
        <f t="shared" si="52"/>
        <v>100</v>
      </c>
      <c r="W139" s="87">
        <f>W140</f>
        <v>0</v>
      </c>
      <c r="X139" s="87">
        <f t="shared" si="50"/>
        <v>100</v>
      </c>
      <c r="Y139" s="88"/>
      <c r="Z139" s="4"/>
      <c r="AA139" s="50"/>
    </row>
    <row r="140" spans="1:32" ht="30" hidden="1" customHeight="1" outlineLevel="1" x14ac:dyDescent="0.2">
      <c r="A140" s="51"/>
      <c r="B140" s="44"/>
      <c r="C140" s="52"/>
      <c r="D140" s="14"/>
      <c r="E140" s="139" t="s">
        <v>254</v>
      </c>
      <c r="F140" s="136"/>
      <c r="G140" s="136"/>
      <c r="H140" s="136"/>
      <c r="I140" s="15" t="s">
        <v>63</v>
      </c>
      <c r="J140" s="6" t="s">
        <v>60</v>
      </c>
      <c r="K140" s="6" t="s">
        <v>18</v>
      </c>
      <c r="L140" s="6" t="s">
        <v>13</v>
      </c>
      <c r="M140" s="19">
        <v>100</v>
      </c>
      <c r="N140" s="19"/>
      <c r="O140" s="19">
        <f t="shared" si="51"/>
        <v>100</v>
      </c>
      <c r="P140" s="33">
        <v>100</v>
      </c>
      <c r="Q140" s="33"/>
      <c r="R140" s="33">
        <f t="shared" si="48"/>
        <v>100</v>
      </c>
      <c r="S140" s="33">
        <v>100</v>
      </c>
      <c r="T140" s="33"/>
      <c r="U140" s="33">
        <f t="shared" si="49"/>
        <v>100</v>
      </c>
      <c r="V140" s="33">
        <f t="shared" si="52"/>
        <v>100</v>
      </c>
      <c r="W140" s="33"/>
      <c r="X140" s="33">
        <f t="shared" si="50"/>
        <v>100</v>
      </c>
      <c r="Y140" s="9"/>
      <c r="Z140" s="4"/>
      <c r="AA140" s="50"/>
    </row>
    <row r="141" spans="1:32" ht="60" customHeight="1" collapsed="1" x14ac:dyDescent="0.2">
      <c r="A141" s="51"/>
      <c r="B141" s="44"/>
      <c r="C141" s="52"/>
      <c r="D141" s="143" t="s">
        <v>255</v>
      </c>
      <c r="E141" s="138"/>
      <c r="F141" s="138"/>
      <c r="G141" s="138"/>
      <c r="H141" s="138"/>
      <c r="I141" s="84" t="s">
        <v>62</v>
      </c>
      <c r="J141" s="85" t="s">
        <v>60</v>
      </c>
      <c r="K141" s="85" t="s">
        <v>27</v>
      </c>
      <c r="L141" s="85" t="s">
        <v>4</v>
      </c>
      <c r="M141" s="86">
        <f>M142+M143</f>
        <v>120</v>
      </c>
      <c r="N141" s="86">
        <f>N142+N143</f>
        <v>793.8</v>
      </c>
      <c r="O141" s="86">
        <f>SUM(M141:N141)</f>
        <v>913.8</v>
      </c>
      <c r="P141" s="87">
        <f>P142+P143</f>
        <v>913.8</v>
      </c>
      <c r="Q141" s="87">
        <f>Q142+Q143</f>
        <v>0</v>
      </c>
      <c r="R141" s="87">
        <f t="shared" si="48"/>
        <v>913.8</v>
      </c>
      <c r="S141" s="87">
        <f>S142+S143</f>
        <v>913.8</v>
      </c>
      <c r="T141" s="87">
        <f>T142+T143</f>
        <v>1364.1</v>
      </c>
      <c r="U141" s="87">
        <f t="shared" si="49"/>
        <v>2277.8999999999996</v>
      </c>
      <c r="V141" s="87">
        <f>SUM(S141:T141)-0.1</f>
        <v>2277.7999999999997</v>
      </c>
      <c r="W141" s="87">
        <f>W142+W143</f>
        <v>-208.3</v>
      </c>
      <c r="X141" s="87">
        <f>SUM(V141:W141)</f>
        <v>2069.4999999999995</v>
      </c>
      <c r="Y141" s="88" t="s">
        <v>409</v>
      </c>
      <c r="Z141" s="4"/>
      <c r="AA141" s="50"/>
    </row>
    <row r="142" spans="1:32" ht="26.25" hidden="1" customHeight="1" outlineLevel="1" x14ac:dyDescent="0.2">
      <c r="A142" s="51"/>
      <c r="B142" s="44"/>
      <c r="C142" s="52"/>
      <c r="D142" s="14"/>
      <c r="E142" s="139" t="s">
        <v>256</v>
      </c>
      <c r="F142" s="136"/>
      <c r="G142" s="136"/>
      <c r="H142" s="136"/>
      <c r="I142" s="15" t="s">
        <v>61</v>
      </c>
      <c r="J142" s="6" t="s">
        <v>60</v>
      </c>
      <c r="K142" s="6" t="s">
        <v>27</v>
      </c>
      <c r="L142" s="6" t="s">
        <v>13</v>
      </c>
      <c r="M142" s="19">
        <v>20</v>
      </c>
      <c r="N142" s="19"/>
      <c r="O142" s="19">
        <f t="shared" si="51"/>
        <v>20</v>
      </c>
      <c r="P142" s="33">
        <v>20</v>
      </c>
      <c r="Q142" s="33"/>
      <c r="R142" s="33">
        <f t="shared" si="48"/>
        <v>20</v>
      </c>
      <c r="S142" s="33">
        <v>20</v>
      </c>
      <c r="T142" s="33"/>
      <c r="U142" s="33">
        <f t="shared" si="49"/>
        <v>20</v>
      </c>
      <c r="V142" s="33">
        <f t="shared" si="52"/>
        <v>20</v>
      </c>
      <c r="W142" s="33"/>
      <c r="X142" s="33">
        <f t="shared" si="50"/>
        <v>20</v>
      </c>
      <c r="Y142" s="9"/>
      <c r="Z142" s="4"/>
      <c r="AA142" s="50"/>
    </row>
    <row r="143" spans="1:32" ht="194.25" hidden="1" customHeight="1" outlineLevel="1" x14ac:dyDescent="0.2">
      <c r="A143" s="51"/>
      <c r="B143" s="44"/>
      <c r="C143" s="52"/>
      <c r="D143" s="14"/>
      <c r="E143" s="136" t="s">
        <v>353</v>
      </c>
      <c r="F143" s="136"/>
      <c r="G143" s="136"/>
      <c r="H143" s="136"/>
      <c r="I143" s="15" t="s">
        <v>59</v>
      </c>
      <c r="J143" s="6" t="s">
        <v>60</v>
      </c>
      <c r="K143" s="6" t="s">
        <v>27</v>
      </c>
      <c r="L143" s="6" t="s">
        <v>11</v>
      </c>
      <c r="M143" s="19">
        <v>100</v>
      </c>
      <c r="N143" s="19">
        <f>793.8</f>
        <v>793.8</v>
      </c>
      <c r="O143" s="19">
        <f t="shared" si="51"/>
        <v>893.8</v>
      </c>
      <c r="P143" s="33">
        <v>893.8</v>
      </c>
      <c r="Q143" s="33"/>
      <c r="R143" s="33">
        <f t="shared" si="48"/>
        <v>893.8</v>
      </c>
      <c r="S143" s="33">
        <v>893.8</v>
      </c>
      <c r="T143" s="33">
        <f>1700-335.9</f>
        <v>1364.1</v>
      </c>
      <c r="U143" s="33">
        <f t="shared" si="49"/>
        <v>2257.8999999999996</v>
      </c>
      <c r="V143" s="33">
        <f t="shared" si="52"/>
        <v>2257.8999999999996</v>
      </c>
      <c r="W143" s="112">
        <f>-208.3</f>
        <v>-208.3</v>
      </c>
      <c r="X143" s="33">
        <f t="shared" si="50"/>
        <v>2049.5999999999995</v>
      </c>
      <c r="Y143" s="9" t="s">
        <v>409</v>
      </c>
      <c r="Z143" s="4">
        <v>0</v>
      </c>
      <c r="AA143" s="50"/>
      <c r="AB143" s="103"/>
      <c r="AF143" s="103"/>
    </row>
    <row r="144" spans="1:32" ht="48" customHeight="1" collapsed="1" x14ac:dyDescent="0.2">
      <c r="A144" s="51"/>
      <c r="B144" s="4"/>
      <c r="C144" s="53"/>
      <c r="D144" s="140" t="s">
        <v>308</v>
      </c>
      <c r="E144" s="141"/>
      <c r="F144" s="141"/>
      <c r="G144" s="141"/>
      <c r="H144" s="142"/>
      <c r="I144" s="68" t="s">
        <v>58</v>
      </c>
      <c r="J144" s="69" t="s">
        <v>41</v>
      </c>
      <c r="K144" s="80" t="s">
        <v>4</v>
      </c>
      <c r="L144" s="80" t="s">
        <v>4</v>
      </c>
      <c r="M144" s="81">
        <f>M145+M155+M161+M165</f>
        <v>2442018.0999999996</v>
      </c>
      <c r="N144" s="81">
        <f>N145+N155+N161+N165</f>
        <v>75689.7</v>
      </c>
      <c r="O144" s="78">
        <f>SUM(M144:N144)</f>
        <v>2517707.7999999998</v>
      </c>
      <c r="P144" s="82">
        <f>P145+P155+P161+P165</f>
        <v>2517707.8000000003</v>
      </c>
      <c r="Q144" s="82">
        <f>Q145+Q155+Q161+Q165</f>
        <v>14673.300000000001</v>
      </c>
      <c r="R144" s="79">
        <f t="shared" si="48"/>
        <v>2532381.1</v>
      </c>
      <c r="S144" s="82">
        <f>S145+S155+S161+S165</f>
        <v>2532381.0999999996</v>
      </c>
      <c r="T144" s="82">
        <f>T145+T155+T161+T165</f>
        <v>81360.900000000009</v>
      </c>
      <c r="U144" s="79">
        <f t="shared" si="49"/>
        <v>2613741.9999999995</v>
      </c>
      <c r="V144" s="79">
        <f>SUM(S144:T144)+0.1</f>
        <v>2613742.0999999996</v>
      </c>
      <c r="W144" s="82">
        <f>W145+W155+W161+W165</f>
        <v>3207.5</v>
      </c>
      <c r="X144" s="79">
        <f>SUM(V144:W144)</f>
        <v>2616949.5999999996</v>
      </c>
      <c r="Y144" s="75"/>
      <c r="Z144" s="4"/>
      <c r="AA144" s="50"/>
    </row>
    <row r="145" spans="1:28" ht="136.5" customHeight="1" x14ac:dyDescent="0.2">
      <c r="A145" s="51"/>
      <c r="B145" s="44"/>
      <c r="C145" s="52"/>
      <c r="D145" s="161" t="s">
        <v>346</v>
      </c>
      <c r="E145" s="162"/>
      <c r="F145" s="162"/>
      <c r="G145" s="162"/>
      <c r="H145" s="163"/>
      <c r="I145" s="155" t="s">
        <v>57</v>
      </c>
      <c r="J145" s="191">
        <v>20</v>
      </c>
      <c r="K145" s="191" t="s">
        <v>23</v>
      </c>
      <c r="L145" s="193" t="s">
        <v>4</v>
      </c>
      <c r="M145" s="144">
        <f>M147+M148+M149+M150+M151+M152+M153</f>
        <v>2337354.5999999996</v>
      </c>
      <c r="N145" s="144">
        <f>N147+N148+N149+N150+N151+N152+N153</f>
        <v>59926.6</v>
      </c>
      <c r="O145" s="144">
        <f>SUM(M145:N145)</f>
        <v>2397281.1999999997</v>
      </c>
      <c r="P145" s="126">
        <f>P147+P148+P149+P150+P151+P152+P153</f>
        <v>2397281.2000000002</v>
      </c>
      <c r="Q145" s="126">
        <f>Q147+Q148+Q149+Q150+Q151+Q152+Q153</f>
        <v>5069.7000000000007</v>
      </c>
      <c r="R145" s="126">
        <f t="shared" si="48"/>
        <v>2402350.9000000004</v>
      </c>
      <c r="S145" s="126">
        <f>S147+S148+S149+S150+S151+S152+S153</f>
        <v>2402350.9</v>
      </c>
      <c r="T145" s="126">
        <f>T147+T148+T149+T150+T151+T152+T153+T154</f>
        <v>68741.10000000002</v>
      </c>
      <c r="U145" s="126">
        <f t="shared" si="49"/>
        <v>2471092</v>
      </c>
      <c r="V145" s="126">
        <f>SUM(S145:T146)</f>
        <v>2471092</v>
      </c>
      <c r="W145" s="126">
        <f>W147+W148+W149+W150+W151+W152+W153+W154</f>
        <v>-1143.7</v>
      </c>
      <c r="X145" s="126">
        <f>SUM(V145:W145)</f>
        <v>2469948.2999999998</v>
      </c>
      <c r="Y145" s="170" t="s">
        <v>436</v>
      </c>
      <c r="Z145" s="4"/>
      <c r="AA145" s="50"/>
    </row>
    <row r="146" spans="1:28" x14ac:dyDescent="0.2">
      <c r="A146" s="51"/>
      <c r="B146" s="44"/>
      <c r="C146" s="52"/>
      <c r="D146" s="164"/>
      <c r="E146" s="165"/>
      <c r="F146" s="165"/>
      <c r="G146" s="165"/>
      <c r="H146" s="166"/>
      <c r="I146" s="156"/>
      <c r="J146" s="192"/>
      <c r="K146" s="192"/>
      <c r="L146" s="194"/>
      <c r="M146" s="145"/>
      <c r="N146" s="145"/>
      <c r="O146" s="145"/>
      <c r="P146" s="127"/>
      <c r="Q146" s="127"/>
      <c r="R146" s="127"/>
      <c r="S146" s="127"/>
      <c r="T146" s="127"/>
      <c r="U146" s="127"/>
      <c r="V146" s="127"/>
      <c r="W146" s="127"/>
      <c r="X146" s="127"/>
      <c r="Y146" s="171"/>
      <c r="Z146" s="4"/>
      <c r="AA146" s="50"/>
      <c r="AB146" s="55"/>
    </row>
    <row r="147" spans="1:28" ht="72.75" hidden="1" customHeight="1" outlineLevel="1" x14ac:dyDescent="0.2">
      <c r="A147" s="51"/>
      <c r="B147" s="44"/>
      <c r="C147" s="52"/>
      <c r="D147" s="14"/>
      <c r="E147" s="139" t="s">
        <v>257</v>
      </c>
      <c r="F147" s="136"/>
      <c r="G147" s="136"/>
      <c r="H147" s="136"/>
      <c r="I147" s="15" t="s">
        <v>56</v>
      </c>
      <c r="J147" s="6" t="s">
        <v>41</v>
      </c>
      <c r="K147" s="6" t="s">
        <v>23</v>
      </c>
      <c r="L147" s="6" t="s">
        <v>13</v>
      </c>
      <c r="M147" s="19">
        <v>31080.1</v>
      </c>
      <c r="N147" s="19">
        <v>84.1</v>
      </c>
      <c r="O147" s="19">
        <f t="shared" ref="O147:O168" si="53">SUM(M147:N147)</f>
        <v>31164.199999999997</v>
      </c>
      <c r="P147" s="33">
        <v>31164.2</v>
      </c>
      <c r="Q147" s="33">
        <f>2880.4</f>
        <v>2880.4</v>
      </c>
      <c r="R147" s="33">
        <f t="shared" ref="R147:R153" si="54">SUM(P147:Q147)</f>
        <v>34044.6</v>
      </c>
      <c r="S147" s="33">
        <v>34044.6</v>
      </c>
      <c r="T147" s="33">
        <f>-75+247-4.1+64+2068+385.8+14.2-473.6-14.2</f>
        <v>2212.1000000000004</v>
      </c>
      <c r="U147" s="33">
        <f t="shared" ref="U147:U166" si="55">SUM(S147:T147)</f>
        <v>36256.699999999997</v>
      </c>
      <c r="V147" s="33">
        <f>SUM(S147:T147)</f>
        <v>36256.699999999997</v>
      </c>
      <c r="W147" s="33">
        <f>-70.9-175.5</f>
        <v>-246.4</v>
      </c>
      <c r="X147" s="33">
        <f t="shared" ref="X147:X166" si="56">SUM(V147:W147)</f>
        <v>36010.299999999996</v>
      </c>
      <c r="Y147" s="110" t="s">
        <v>406</v>
      </c>
      <c r="Z147" s="4"/>
      <c r="AA147" s="50"/>
    </row>
    <row r="148" spans="1:28" ht="409.5" hidden="1" customHeight="1" outlineLevel="1" x14ac:dyDescent="0.2">
      <c r="A148" s="51"/>
      <c r="B148" s="44"/>
      <c r="C148" s="52"/>
      <c r="D148" s="14"/>
      <c r="E148" s="139" t="s">
        <v>258</v>
      </c>
      <c r="F148" s="136"/>
      <c r="G148" s="136"/>
      <c r="H148" s="136"/>
      <c r="I148" s="15" t="s">
        <v>55</v>
      </c>
      <c r="J148" s="6" t="s">
        <v>41</v>
      </c>
      <c r="K148" s="6" t="s">
        <v>23</v>
      </c>
      <c r="L148" s="6" t="s">
        <v>11</v>
      </c>
      <c r="M148" s="19">
        <v>2070763.7</v>
      </c>
      <c r="N148" s="19">
        <f>46247+2350</f>
        <v>48597</v>
      </c>
      <c r="O148" s="19">
        <f t="shared" si="53"/>
        <v>2119360.7000000002</v>
      </c>
      <c r="P148" s="33">
        <v>2119360.7000000002</v>
      </c>
      <c r="Q148" s="33">
        <f>948.3+1241</f>
        <v>2189.3000000000002</v>
      </c>
      <c r="R148" s="33">
        <f t="shared" si="54"/>
        <v>2121550</v>
      </c>
      <c r="S148" s="33">
        <v>2121550</v>
      </c>
      <c r="T148" s="33">
        <f>-40-41.6+300+224+74.6-53.5+(99.8+44.7)-1000+1698-9.6+67548.2-116-130+7874.6+3218+4676+410-391-107.5-588.9-166.2-410</f>
        <v>83113.600000000006</v>
      </c>
      <c r="U148" s="33">
        <f t="shared" si="55"/>
        <v>2204663.6</v>
      </c>
      <c r="V148" s="33">
        <v>2204663.6</v>
      </c>
      <c r="W148" s="33">
        <f>27.2+567+130+238.8+0.7+200-742.7+108.6-10.6-105.3-31.9+46</f>
        <v>427.8</v>
      </c>
      <c r="X148" s="33">
        <f t="shared" si="56"/>
        <v>2205091.4</v>
      </c>
      <c r="Y148" s="9" t="s">
        <v>412</v>
      </c>
      <c r="Z148" s="4"/>
      <c r="AA148" s="105"/>
    </row>
    <row r="149" spans="1:28" ht="57" hidden="1" customHeight="1" outlineLevel="1" x14ac:dyDescent="0.2">
      <c r="A149" s="51"/>
      <c r="B149" s="44"/>
      <c r="C149" s="52"/>
      <c r="D149" s="14"/>
      <c r="E149" s="139" t="s">
        <v>259</v>
      </c>
      <c r="F149" s="136"/>
      <c r="G149" s="136"/>
      <c r="H149" s="136"/>
      <c r="I149" s="15" t="s">
        <v>54</v>
      </c>
      <c r="J149" s="6" t="s">
        <v>41</v>
      </c>
      <c r="K149" s="6" t="s">
        <v>23</v>
      </c>
      <c r="L149" s="6" t="s">
        <v>26</v>
      </c>
      <c r="M149" s="19">
        <v>41286</v>
      </c>
      <c r="N149" s="19"/>
      <c r="O149" s="19">
        <f t="shared" si="53"/>
        <v>41286</v>
      </c>
      <c r="P149" s="33">
        <v>41286</v>
      </c>
      <c r="Q149" s="33"/>
      <c r="R149" s="33">
        <f t="shared" si="54"/>
        <v>41286</v>
      </c>
      <c r="S149" s="33">
        <v>41286</v>
      </c>
      <c r="T149" s="33">
        <f>-2000-4500</f>
        <v>-6500</v>
      </c>
      <c r="U149" s="33">
        <f t="shared" si="55"/>
        <v>34786</v>
      </c>
      <c r="V149" s="33">
        <f t="shared" ref="V149:V183" si="57">SUM(S149:T149)</f>
        <v>34786</v>
      </c>
      <c r="W149" s="33">
        <f>10.6</f>
        <v>10.6</v>
      </c>
      <c r="X149" s="33">
        <f t="shared" si="56"/>
        <v>34796.6</v>
      </c>
      <c r="Y149" s="113" t="s">
        <v>385</v>
      </c>
      <c r="Z149" s="4"/>
      <c r="AA149" s="50"/>
    </row>
    <row r="150" spans="1:28" ht="93" hidden="1" customHeight="1" outlineLevel="1" x14ac:dyDescent="0.2">
      <c r="A150" s="51"/>
      <c r="B150" s="44"/>
      <c r="C150" s="52"/>
      <c r="D150" s="14"/>
      <c r="E150" s="139" t="s">
        <v>260</v>
      </c>
      <c r="F150" s="136"/>
      <c r="G150" s="136"/>
      <c r="H150" s="136"/>
      <c r="I150" s="15" t="s">
        <v>53</v>
      </c>
      <c r="J150" s="6" t="s">
        <v>41</v>
      </c>
      <c r="K150" s="6" t="s">
        <v>23</v>
      </c>
      <c r="L150" s="6" t="s">
        <v>10</v>
      </c>
      <c r="M150" s="19">
        <v>7546.9</v>
      </c>
      <c r="N150" s="19"/>
      <c r="O150" s="19">
        <f t="shared" si="53"/>
        <v>7546.9</v>
      </c>
      <c r="P150" s="33">
        <v>7546.9</v>
      </c>
      <c r="Q150" s="33"/>
      <c r="R150" s="33">
        <f t="shared" si="54"/>
        <v>7546.9</v>
      </c>
      <c r="S150" s="33">
        <v>7546.9</v>
      </c>
      <c r="T150" s="33">
        <f>-1440-6106.9</f>
        <v>-7546.9</v>
      </c>
      <c r="U150" s="33">
        <f t="shared" si="55"/>
        <v>0</v>
      </c>
      <c r="V150" s="33">
        <f t="shared" si="57"/>
        <v>0</v>
      </c>
      <c r="W150" s="33"/>
      <c r="X150" s="33">
        <f t="shared" si="56"/>
        <v>0</v>
      </c>
      <c r="Y150" s="9"/>
      <c r="Z150" s="4"/>
      <c r="AA150" s="50"/>
    </row>
    <row r="151" spans="1:28" ht="43.5" hidden="1" customHeight="1" outlineLevel="1" x14ac:dyDescent="0.2">
      <c r="A151" s="51"/>
      <c r="B151" s="44"/>
      <c r="C151" s="52"/>
      <c r="D151" s="14"/>
      <c r="E151" s="139" t="s">
        <v>261</v>
      </c>
      <c r="F151" s="136"/>
      <c r="G151" s="136"/>
      <c r="H151" s="136"/>
      <c r="I151" s="15" t="s">
        <v>52</v>
      </c>
      <c r="J151" s="6" t="s">
        <v>41</v>
      </c>
      <c r="K151" s="6" t="s">
        <v>23</v>
      </c>
      <c r="L151" s="6" t="s">
        <v>7</v>
      </c>
      <c r="M151" s="19">
        <v>2000</v>
      </c>
      <c r="N151" s="19">
        <v>904.1</v>
      </c>
      <c r="O151" s="19">
        <f t="shared" si="53"/>
        <v>2904.1</v>
      </c>
      <c r="P151" s="33">
        <v>2904.1</v>
      </c>
      <c r="Q151" s="33"/>
      <c r="R151" s="33">
        <f t="shared" si="54"/>
        <v>2904.1</v>
      </c>
      <c r="S151" s="33">
        <v>2904.1</v>
      </c>
      <c r="T151" s="33"/>
      <c r="U151" s="33">
        <f t="shared" si="55"/>
        <v>2904.1</v>
      </c>
      <c r="V151" s="33">
        <f t="shared" si="57"/>
        <v>2904.1</v>
      </c>
      <c r="W151" s="33">
        <f>51</f>
        <v>51</v>
      </c>
      <c r="X151" s="33">
        <f t="shared" si="56"/>
        <v>2955.1</v>
      </c>
      <c r="Y151" s="9" t="s">
        <v>386</v>
      </c>
      <c r="Z151" s="4"/>
      <c r="AA151" s="50"/>
    </row>
    <row r="152" spans="1:28" ht="63.75" hidden="1" customHeight="1" outlineLevel="1" x14ac:dyDescent="0.2">
      <c r="A152" s="51"/>
      <c r="B152" s="44"/>
      <c r="C152" s="52"/>
      <c r="D152" s="14"/>
      <c r="E152" s="139" t="s">
        <v>262</v>
      </c>
      <c r="F152" s="136"/>
      <c r="G152" s="136"/>
      <c r="H152" s="136"/>
      <c r="I152" s="15" t="s">
        <v>51</v>
      </c>
      <c r="J152" s="6" t="s">
        <v>41</v>
      </c>
      <c r="K152" s="6" t="s">
        <v>23</v>
      </c>
      <c r="L152" s="6" t="s">
        <v>5</v>
      </c>
      <c r="M152" s="19">
        <v>12668.9</v>
      </c>
      <c r="N152" s="19">
        <f>712.4</f>
        <v>712.4</v>
      </c>
      <c r="O152" s="19">
        <f t="shared" si="53"/>
        <v>13381.3</v>
      </c>
      <c r="P152" s="33">
        <v>13381.3</v>
      </c>
      <c r="Q152" s="33"/>
      <c r="R152" s="33">
        <f t="shared" si="54"/>
        <v>13381.3</v>
      </c>
      <c r="S152" s="33">
        <v>13381.3</v>
      </c>
      <c r="T152" s="33">
        <f>-200+120.8</f>
        <v>-79.2</v>
      </c>
      <c r="U152" s="33">
        <f t="shared" si="55"/>
        <v>13302.099999999999</v>
      </c>
      <c r="V152" s="33">
        <f t="shared" si="57"/>
        <v>13302.099999999999</v>
      </c>
      <c r="W152" s="33"/>
      <c r="X152" s="33">
        <f t="shared" si="56"/>
        <v>13302.099999999999</v>
      </c>
      <c r="Y152" s="9"/>
      <c r="Z152" s="4"/>
      <c r="AA152" s="50"/>
    </row>
    <row r="153" spans="1:28" ht="203.25" hidden="1" customHeight="1" outlineLevel="1" x14ac:dyDescent="0.2">
      <c r="A153" s="51"/>
      <c r="B153" s="44"/>
      <c r="C153" s="52"/>
      <c r="D153" s="14"/>
      <c r="E153" s="139" t="s">
        <v>263</v>
      </c>
      <c r="F153" s="136"/>
      <c r="G153" s="136"/>
      <c r="H153" s="136"/>
      <c r="I153" s="15" t="s">
        <v>50</v>
      </c>
      <c r="J153" s="6" t="s">
        <v>41</v>
      </c>
      <c r="K153" s="6" t="s">
        <v>23</v>
      </c>
      <c r="L153" s="6" t="s">
        <v>1</v>
      </c>
      <c r="M153" s="19">
        <v>172009</v>
      </c>
      <c r="N153" s="19">
        <f>-1335.9+13185.5-2026-194.6</f>
        <v>9629</v>
      </c>
      <c r="O153" s="19">
        <f t="shared" si="53"/>
        <v>181638</v>
      </c>
      <c r="P153" s="33">
        <v>181638</v>
      </c>
      <c r="Q153" s="33"/>
      <c r="R153" s="33">
        <f t="shared" si="54"/>
        <v>181638</v>
      </c>
      <c r="S153" s="33">
        <v>181638</v>
      </c>
      <c r="T153" s="33">
        <f>-70.2-215.4-74.6-44.7-451.7-2000-582.3-19.6</f>
        <v>-3458.4999999999995</v>
      </c>
      <c r="U153" s="33">
        <f t="shared" si="55"/>
        <v>178179.5</v>
      </c>
      <c r="V153" s="33">
        <f t="shared" si="57"/>
        <v>178179.5</v>
      </c>
      <c r="W153" s="33">
        <f>-227.1-159.6</f>
        <v>-386.7</v>
      </c>
      <c r="X153" s="33">
        <f t="shared" si="56"/>
        <v>177792.8</v>
      </c>
      <c r="Y153" s="9" t="s">
        <v>388</v>
      </c>
      <c r="Z153" s="4" t="s">
        <v>304</v>
      </c>
      <c r="AA153" s="50"/>
    </row>
    <row r="154" spans="1:28" ht="48" hidden="1" customHeight="1" outlineLevel="1" x14ac:dyDescent="0.2">
      <c r="A154" s="51"/>
      <c r="B154" s="44"/>
      <c r="C154" s="52"/>
      <c r="D154" s="14"/>
      <c r="E154" s="167" t="s">
        <v>372</v>
      </c>
      <c r="F154" s="168"/>
      <c r="G154" s="168"/>
      <c r="H154" s="169"/>
      <c r="I154" s="15"/>
      <c r="J154" s="6">
        <v>20</v>
      </c>
      <c r="K154" s="6">
        <v>1</v>
      </c>
      <c r="L154" s="6">
        <v>8</v>
      </c>
      <c r="M154" s="19"/>
      <c r="N154" s="19"/>
      <c r="O154" s="19"/>
      <c r="P154" s="33"/>
      <c r="Q154" s="33"/>
      <c r="R154" s="33"/>
      <c r="S154" s="33">
        <v>0</v>
      </c>
      <c r="T154" s="33">
        <v>1000</v>
      </c>
      <c r="U154" s="33">
        <f t="shared" si="55"/>
        <v>1000</v>
      </c>
      <c r="V154" s="33">
        <f t="shared" si="57"/>
        <v>1000</v>
      </c>
      <c r="W154" s="33">
        <f>-1000</f>
        <v>-1000</v>
      </c>
      <c r="X154" s="33">
        <f t="shared" si="56"/>
        <v>0</v>
      </c>
      <c r="Y154" s="9" t="s">
        <v>405</v>
      </c>
      <c r="Z154" s="4"/>
      <c r="AA154" s="50"/>
    </row>
    <row r="155" spans="1:28" ht="63.75" customHeight="1" collapsed="1" x14ac:dyDescent="0.2">
      <c r="A155" s="51"/>
      <c r="B155" s="44"/>
      <c r="C155" s="52"/>
      <c r="D155" s="137" t="s">
        <v>309</v>
      </c>
      <c r="E155" s="138"/>
      <c r="F155" s="138"/>
      <c r="G155" s="138"/>
      <c r="H155" s="138"/>
      <c r="I155" s="84" t="s">
        <v>49</v>
      </c>
      <c r="J155" s="85" t="s">
        <v>41</v>
      </c>
      <c r="K155" s="85" t="s">
        <v>18</v>
      </c>
      <c r="L155" s="85" t="s">
        <v>4</v>
      </c>
      <c r="M155" s="86">
        <f>M156+M157+M158+M159+M160</f>
        <v>9950</v>
      </c>
      <c r="N155" s="86">
        <f>N156+N157+N158+N159+N160</f>
        <v>1121.9000000000001</v>
      </c>
      <c r="O155" s="86">
        <f>SUM(M155:N155)</f>
        <v>11071.9</v>
      </c>
      <c r="P155" s="87">
        <f>P156+P157+P158+P159+P160</f>
        <v>11071.9</v>
      </c>
      <c r="Q155" s="87">
        <f>Q156+Q157+Q158+Q159+Q160</f>
        <v>10564</v>
      </c>
      <c r="R155" s="87">
        <f>SUM(P155:Q155)</f>
        <v>21635.9</v>
      </c>
      <c r="S155" s="87">
        <f>SUM(S156:S160)</f>
        <v>21635.9</v>
      </c>
      <c r="T155" s="87">
        <f>T156+T157+T158+T159+T160</f>
        <v>6348.2</v>
      </c>
      <c r="U155" s="87">
        <f t="shared" si="55"/>
        <v>27984.100000000002</v>
      </c>
      <c r="V155" s="87">
        <f t="shared" si="57"/>
        <v>27984.100000000002</v>
      </c>
      <c r="W155" s="87">
        <f>W156+W157+W158+W159+W160</f>
        <v>225</v>
      </c>
      <c r="X155" s="87">
        <f>SUM(V155:W155)</f>
        <v>28209.100000000002</v>
      </c>
      <c r="Y155" s="88" t="s">
        <v>390</v>
      </c>
      <c r="Z155" s="4"/>
      <c r="AA155" s="32"/>
    </row>
    <row r="156" spans="1:28" ht="265.89999999999998" hidden="1" customHeight="1" outlineLevel="1" x14ac:dyDescent="0.2">
      <c r="A156" s="51"/>
      <c r="B156" s="44"/>
      <c r="C156" s="52"/>
      <c r="D156" s="14"/>
      <c r="E156" s="139" t="s">
        <v>264</v>
      </c>
      <c r="F156" s="136"/>
      <c r="G156" s="136"/>
      <c r="H156" s="136"/>
      <c r="I156" s="15">
        <v>2020199990</v>
      </c>
      <c r="J156" s="6" t="s">
        <v>41</v>
      </c>
      <c r="K156" s="6" t="s">
        <v>18</v>
      </c>
      <c r="L156" s="6" t="s">
        <v>13</v>
      </c>
      <c r="M156" s="19">
        <v>7750</v>
      </c>
      <c r="N156" s="19">
        <v>1121.9000000000001</v>
      </c>
      <c r="O156" s="19">
        <f t="shared" si="53"/>
        <v>8871.9</v>
      </c>
      <c r="P156" s="33">
        <v>8871.9</v>
      </c>
      <c r="Q156" s="33">
        <f>10564</f>
        <v>10564</v>
      </c>
      <c r="R156" s="33">
        <f>SUM(P156:Q156)</f>
        <v>19435.900000000001</v>
      </c>
      <c r="S156" s="33">
        <v>19435.900000000001</v>
      </c>
      <c r="T156" s="33">
        <f>-16.2+111.8+517.5-2463.5+1150.5+60+339.7-30+1268+1858.3+150+45.7+451.7-3.7+698.3+149.6-29.9</f>
        <v>4257.8</v>
      </c>
      <c r="U156" s="33">
        <f t="shared" si="55"/>
        <v>23693.7</v>
      </c>
      <c r="V156" s="33">
        <f t="shared" si="57"/>
        <v>23693.7</v>
      </c>
      <c r="W156" s="33">
        <f>225</f>
        <v>225</v>
      </c>
      <c r="X156" s="33">
        <f t="shared" si="56"/>
        <v>23918.7</v>
      </c>
      <c r="Y156" s="9" t="s">
        <v>390</v>
      </c>
      <c r="Z156" s="4"/>
      <c r="AA156" s="32"/>
    </row>
    <row r="157" spans="1:28" ht="129" hidden="1" customHeight="1" outlineLevel="1" x14ac:dyDescent="0.2">
      <c r="A157" s="51"/>
      <c r="B157" s="44"/>
      <c r="C157" s="52"/>
      <c r="D157" s="14"/>
      <c r="E157" s="136" t="s">
        <v>375</v>
      </c>
      <c r="F157" s="136"/>
      <c r="G157" s="136"/>
      <c r="H157" s="136"/>
      <c r="I157" s="20" t="s">
        <v>351</v>
      </c>
      <c r="J157" s="11" t="s">
        <v>41</v>
      </c>
      <c r="K157" s="11" t="s">
        <v>18</v>
      </c>
      <c r="L157" s="11" t="s">
        <v>11</v>
      </c>
      <c r="M157" s="19">
        <v>1300</v>
      </c>
      <c r="N157" s="19"/>
      <c r="O157" s="19"/>
      <c r="P157" s="33">
        <v>1300</v>
      </c>
      <c r="Q157" s="33"/>
      <c r="R157" s="33">
        <v>1300</v>
      </c>
      <c r="S157" s="33">
        <v>1300</v>
      </c>
      <c r="T157" s="33">
        <f>(16.2+190)+30-150</f>
        <v>86.199999999999989</v>
      </c>
      <c r="U157" s="33">
        <f t="shared" si="55"/>
        <v>1386.2</v>
      </c>
      <c r="V157" s="33">
        <f t="shared" si="57"/>
        <v>1386.2</v>
      </c>
      <c r="W157" s="33"/>
      <c r="X157" s="33">
        <f t="shared" si="56"/>
        <v>1386.2</v>
      </c>
      <c r="Y157" s="9"/>
      <c r="Z157" s="4"/>
      <c r="AA157" s="50"/>
    </row>
    <row r="158" spans="1:28" ht="105.75" hidden="1" customHeight="1" outlineLevel="1" x14ac:dyDescent="0.2">
      <c r="A158" s="51"/>
      <c r="B158" s="44"/>
      <c r="C158" s="52"/>
      <c r="D158" s="14"/>
      <c r="E158" s="139" t="s">
        <v>265</v>
      </c>
      <c r="F158" s="136"/>
      <c r="G158" s="136"/>
      <c r="H158" s="136"/>
      <c r="I158" s="15" t="s">
        <v>48</v>
      </c>
      <c r="J158" s="6" t="s">
        <v>41</v>
      </c>
      <c r="K158" s="6" t="s">
        <v>18</v>
      </c>
      <c r="L158" s="6" t="s">
        <v>26</v>
      </c>
      <c r="M158" s="19">
        <v>900</v>
      </c>
      <c r="N158" s="19"/>
      <c r="O158" s="19">
        <f t="shared" si="53"/>
        <v>900</v>
      </c>
      <c r="P158" s="33">
        <v>900</v>
      </c>
      <c r="Q158" s="33"/>
      <c r="R158" s="33">
        <f t="shared" ref="R158:R166" si="58">SUM(P158:Q158)</f>
        <v>900</v>
      </c>
      <c r="S158" s="33">
        <v>900</v>
      </c>
      <c r="T158" s="33">
        <f>-150+1818.3+335.9</f>
        <v>2004.1999999999998</v>
      </c>
      <c r="U158" s="33">
        <f t="shared" si="55"/>
        <v>2904.2</v>
      </c>
      <c r="V158" s="33">
        <f t="shared" si="57"/>
        <v>2904.2</v>
      </c>
      <c r="W158" s="33"/>
      <c r="X158" s="33">
        <f t="shared" si="56"/>
        <v>2904.2</v>
      </c>
      <c r="Y158" s="9"/>
      <c r="Z158" s="4"/>
      <c r="AA158" s="50"/>
    </row>
    <row r="159" spans="1:28" ht="48.75" hidden="1" customHeight="1" outlineLevel="1" x14ac:dyDescent="0.2">
      <c r="A159" s="51"/>
      <c r="B159" s="44"/>
      <c r="C159" s="52"/>
      <c r="D159" s="14"/>
      <c r="E159" s="167" t="s">
        <v>296</v>
      </c>
      <c r="F159" s="168"/>
      <c r="G159" s="168"/>
      <c r="H159" s="169"/>
      <c r="I159" s="15"/>
      <c r="J159" s="6">
        <v>20</v>
      </c>
      <c r="K159" s="6">
        <v>2</v>
      </c>
      <c r="L159" s="11" t="s">
        <v>10</v>
      </c>
      <c r="M159" s="19">
        <v>0</v>
      </c>
      <c r="N159" s="19"/>
      <c r="O159" s="19">
        <f>SUM(M159:N159)</f>
        <v>0</v>
      </c>
      <c r="P159" s="33">
        <v>0</v>
      </c>
      <c r="Q159" s="33"/>
      <c r="R159" s="33">
        <f t="shared" si="58"/>
        <v>0</v>
      </c>
      <c r="S159" s="33">
        <v>0</v>
      </c>
      <c r="T159" s="33"/>
      <c r="U159" s="33">
        <f t="shared" si="55"/>
        <v>0</v>
      </c>
      <c r="V159" s="33">
        <f t="shared" si="57"/>
        <v>0</v>
      </c>
      <c r="W159" s="33"/>
      <c r="X159" s="33">
        <f t="shared" si="56"/>
        <v>0</v>
      </c>
      <c r="Y159" s="9"/>
      <c r="Z159" s="4"/>
      <c r="AA159" s="50"/>
    </row>
    <row r="160" spans="1:28" ht="46.5" hidden="1" customHeight="1" outlineLevel="1" x14ac:dyDescent="0.2">
      <c r="A160" s="51"/>
      <c r="B160" s="44"/>
      <c r="C160" s="52"/>
      <c r="D160" s="14"/>
      <c r="E160" s="139" t="s">
        <v>266</v>
      </c>
      <c r="F160" s="136"/>
      <c r="G160" s="136"/>
      <c r="H160" s="136"/>
      <c r="I160" s="15" t="s">
        <v>47</v>
      </c>
      <c r="J160" s="6" t="s">
        <v>41</v>
      </c>
      <c r="K160" s="6" t="s">
        <v>18</v>
      </c>
      <c r="L160" s="6" t="s">
        <v>46</v>
      </c>
      <c r="M160" s="19">
        <v>0</v>
      </c>
      <c r="N160" s="19"/>
      <c r="O160" s="19">
        <f t="shared" si="53"/>
        <v>0</v>
      </c>
      <c r="P160" s="33">
        <v>0</v>
      </c>
      <c r="Q160" s="33"/>
      <c r="R160" s="33">
        <f t="shared" si="58"/>
        <v>0</v>
      </c>
      <c r="S160" s="33">
        <v>0</v>
      </c>
      <c r="T160" s="33"/>
      <c r="U160" s="33">
        <f t="shared" si="55"/>
        <v>0</v>
      </c>
      <c r="V160" s="33">
        <f t="shared" si="57"/>
        <v>0</v>
      </c>
      <c r="W160" s="33"/>
      <c r="X160" s="33">
        <f t="shared" si="56"/>
        <v>0</v>
      </c>
      <c r="Y160" s="9"/>
      <c r="Z160" s="4"/>
      <c r="AA160" s="50"/>
    </row>
    <row r="161" spans="1:27" ht="117" customHeight="1" collapsed="1" x14ac:dyDescent="0.2">
      <c r="A161" s="51"/>
      <c r="B161" s="44"/>
      <c r="C161" s="52"/>
      <c r="D161" s="137" t="s">
        <v>267</v>
      </c>
      <c r="E161" s="138"/>
      <c r="F161" s="138"/>
      <c r="G161" s="138"/>
      <c r="H161" s="138"/>
      <c r="I161" s="84" t="s">
        <v>45</v>
      </c>
      <c r="J161" s="85" t="s">
        <v>41</v>
      </c>
      <c r="K161" s="85" t="s">
        <v>27</v>
      </c>
      <c r="L161" s="85" t="s">
        <v>4</v>
      </c>
      <c r="M161" s="86">
        <f>M162+M163+M164</f>
        <v>79713.5</v>
      </c>
      <c r="N161" s="86">
        <f>N162+N163+N164</f>
        <v>14641.2</v>
      </c>
      <c r="O161" s="86">
        <f>SUM(M161:N161)</f>
        <v>94354.7</v>
      </c>
      <c r="P161" s="87">
        <f>P162+P163+P164</f>
        <v>94354.700000000012</v>
      </c>
      <c r="Q161" s="87">
        <f>Q162+Q163+Q164</f>
        <v>-960.4</v>
      </c>
      <c r="R161" s="87">
        <f t="shared" si="58"/>
        <v>93394.300000000017</v>
      </c>
      <c r="S161" s="87">
        <f>S162+S163+S164</f>
        <v>93394.3</v>
      </c>
      <c r="T161" s="87">
        <f>T162+T163+T164</f>
        <v>1695.2000000000003</v>
      </c>
      <c r="U161" s="87">
        <f t="shared" si="55"/>
        <v>95089.5</v>
      </c>
      <c r="V161" s="87">
        <f t="shared" si="57"/>
        <v>95089.5</v>
      </c>
      <c r="W161" s="87">
        <f>W162+W163+W164</f>
        <v>4126.2</v>
      </c>
      <c r="X161" s="87">
        <f>SUM(V161:W161)</f>
        <v>99215.7</v>
      </c>
      <c r="Y161" s="88" t="s">
        <v>415</v>
      </c>
      <c r="Z161" s="4"/>
      <c r="AA161" s="50"/>
    </row>
    <row r="162" spans="1:27" ht="42" hidden="1" customHeight="1" outlineLevel="1" x14ac:dyDescent="0.2">
      <c r="A162" s="51"/>
      <c r="B162" s="44"/>
      <c r="C162" s="52"/>
      <c r="D162" s="14"/>
      <c r="E162" s="136" t="s">
        <v>268</v>
      </c>
      <c r="F162" s="136"/>
      <c r="G162" s="136"/>
      <c r="H162" s="136"/>
      <c r="I162" s="15" t="s">
        <v>44</v>
      </c>
      <c r="J162" s="6" t="s">
        <v>41</v>
      </c>
      <c r="K162" s="6" t="s">
        <v>27</v>
      </c>
      <c r="L162" s="6" t="s">
        <v>13</v>
      </c>
      <c r="M162" s="19">
        <v>33141.300000000003</v>
      </c>
      <c r="N162" s="19">
        <f>14446.6</f>
        <v>14446.6</v>
      </c>
      <c r="O162" s="19">
        <f t="shared" si="53"/>
        <v>47587.9</v>
      </c>
      <c r="P162" s="33">
        <v>47587.9</v>
      </c>
      <c r="Q162" s="33"/>
      <c r="R162" s="33">
        <f t="shared" si="58"/>
        <v>47587.9</v>
      </c>
      <c r="S162" s="33">
        <v>47587.9</v>
      </c>
      <c r="T162" s="33"/>
      <c r="U162" s="33">
        <f t="shared" si="55"/>
        <v>47587.9</v>
      </c>
      <c r="V162" s="33">
        <f t="shared" si="57"/>
        <v>47587.9</v>
      </c>
      <c r="W162" s="33">
        <f>5000</f>
        <v>5000</v>
      </c>
      <c r="X162" s="33">
        <f>SUM(V162:W162)</f>
        <v>52587.9</v>
      </c>
      <c r="Y162" s="9" t="s">
        <v>381</v>
      </c>
      <c r="Z162" s="4" t="s">
        <v>304</v>
      </c>
      <c r="AA162" s="50"/>
    </row>
    <row r="163" spans="1:27" ht="281.25" hidden="1" customHeight="1" outlineLevel="1" x14ac:dyDescent="0.2">
      <c r="A163" s="51"/>
      <c r="B163" s="44"/>
      <c r="C163" s="52"/>
      <c r="D163" s="14"/>
      <c r="E163" s="136" t="s">
        <v>269</v>
      </c>
      <c r="F163" s="136"/>
      <c r="G163" s="136"/>
      <c r="H163" s="136"/>
      <c r="I163" s="15" t="s">
        <v>43</v>
      </c>
      <c r="J163" s="6" t="s">
        <v>41</v>
      </c>
      <c r="K163" s="6" t="s">
        <v>27</v>
      </c>
      <c r="L163" s="6" t="s">
        <v>11</v>
      </c>
      <c r="M163" s="19">
        <v>42972.2</v>
      </c>
      <c r="N163" s="19">
        <v>194.6</v>
      </c>
      <c r="O163" s="19">
        <f t="shared" si="53"/>
        <v>43166.799999999996</v>
      </c>
      <c r="P163" s="33">
        <v>43166.8</v>
      </c>
      <c r="Q163" s="33">
        <f>-960.4</f>
        <v>-960.4</v>
      </c>
      <c r="R163" s="33">
        <f t="shared" si="58"/>
        <v>42206.400000000001</v>
      </c>
      <c r="S163" s="33">
        <v>42206.400000000001</v>
      </c>
      <c r="T163" s="33">
        <f>-22.7+22.7-11.7+11.7-601.4+6+53.5+9.6+919.8+1921-156.7-456.6</f>
        <v>1695.2000000000003</v>
      </c>
      <c r="U163" s="33">
        <f t="shared" si="55"/>
        <v>43901.599999999999</v>
      </c>
      <c r="V163" s="33">
        <f t="shared" si="57"/>
        <v>43901.599999999999</v>
      </c>
      <c r="W163" s="33">
        <f>-119.7+31.9+424</f>
        <v>336.2</v>
      </c>
      <c r="X163" s="33">
        <f t="shared" si="56"/>
        <v>44237.799999999996</v>
      </c>
      <c r="Y163" s="9" t="s">
        <v>413</v>
      </c>
      <c r="Z163" s="4"/>
      <c r="AA163" s="50"/>
    </row>
    <row r="164" spans="1:27" ht="43.5" hidden="1" customHeight="1" outlineLevel="1" x14ac:dyDescent="0.2">
      <c r="A164" s="51"/>
      <c r="B164" s="44"/>
      <c r="C164" s="52"/>
      <c r="D164" s="14"/>
      <c r="E164" s="136" t="s">
        <v>270</v>
      </c>
      <c r="F164" s="136"/>
      <c r="G164" s="136"/>
      <c r="H164" s="136"/>
      <c r="I164" s="15" t="s">
        <v>42</v>
      </c>
      <c r="J164" s="6" t="s">
        <v>41</v>
      </c>
      <c r="K164" s="6" t="s">
        <v>27</v>
      </c>
      <c r="L164" s="6" t="s">
        <v>26</v>
      </c>
      <c r="M164" s="19">
        <v>3600</v>
      </c>
      <c r="N164" s="19"/>
      <c r="O164" s="19">
        <f t="shared" si="53"/>
        <v>3600</v>
      </c>
      <c r="P164" s="33">
        <v>3600</v>
      </c>
      <c r="Q164" s="33"/>
      <c r="R164" s="33">
        <f t="shared" si="58"/>
        <v>3600</v>
      </c>
      <c r="S164" s="33">
        <v>3600</v>
      </c>
      <c r="T164" s="33"/>
      <c r="U164" s="33">
        <f t="shared" si="55"/>
        <v>3600</v>
      </c>
      <c r="V164" s="33">
        <f t="shared" si="57"/>
        <v>3600</v>
      </c>
      <c r="W164" s="33">
        <f>-474-736</f>
        <v>-1210</v>
      </c>
      <c r="X164" s="33">
        <f t="shared" si="56"/>
        <v>2390</v>
      </c>
      <c r="Y164" s="9" t="s">
        <v>387</v>
      </c>
      <c r="Z164" s="4"/>
      <c r="AA164" s="50"/>
    </row>
    <row r="165" spans="1:27" ht="42" customHeight="1" collapsed="1" x14ac:dyDescent="0.2">
      <c r="A165" s="51"/>
      <c r="B165" s="44"/>
      <c r="C165" s="52"/>
      <c r="D165" s="143" t="s">
        <v>271</v>
      </c>
      <c r="E165" s="138"/>
      <c r="F165" s="138"/>
      <c r="G165" s="138"/>
      <c r="H165" s="138"/>
      <c r="I165" s="84" t="s">
        <v>39</v>
      </c>
      <c r="J165" s="85" t="s">
        <v>41</v>
      </c>
      <c r="K165" s="85" t="s">
        <v>40</v>
      </c>
      <c r="L165" s="85" t="s">
        <v>4</v>
      </c>
      <c r="M165" s="86">
        <f>M166</f>
        <v>15000</v>
      </c>
      <c r="N165" s="86">
        <f>N166</f>
        <v>0</v>
      </c>
      <c r="O165" s="86">
        <f>SUM(M165:N165)</f>
        <v>15000</v>
      </c>
      <c r="P165" s="87">
        <f>P166</f>
        <v>15000</v>
      </c>
      <c r="Q165" s="87">
        <f>Q166</f>
        <v>0</v>
      </c>
      <c r="R165" s="87">
        <f t="shared" si="58"/>
        <v>15000</v>
      </c>
      <c r="S165" s="87">
        <f>S166</f>
        <v>15000</v>
      </c>
      <c r="T165" s="87">
        <f>T166</f>
        <v>4576.3999999999996</v>
      </c>
      <c r="U165" s="87">
        <f t="shared" si="55"/>
        <v>19576.400000000001</v>
      </c>
      <c r="V165" s="87">
        <f t="shared" si="57"/>
        <v>19576.400000000001</v>
      </c>
      <c r="W165" s="87">
        <f>W166</f>
        <v>0</v>
      </c>
      <c r="X165" s="87">
        <f>SUM(V165:W165)</f>
        <v>19576.400000000001</v>
      </c>
      <c r="Y165" s="88"/>
      <c r="Z165" s="4"/>
      <c r="AA165" s="50"/>
    </row>
    <row r="166" spans="1:27" ht="98.25" hidden="1" customHeight="1" outlineLevel="1" x14ac:dyDescent="0.2">
      <c r="A166" s="51"/>
      <c r="B166" s="44"/>
      <c r="C166" s="52"/>
      <c r="D166" s="14"/>
      <c r="E166" s="139" t="s">
        <v>272</v>
      </c>
      <c r="F166" s="136"/>
      <c r="G166" s="136"/>
      <c r="H166" s="136"/>
      <c r="I166" s="15" t="s">
        <v>39</v>
      </c>
      <c r="J166" s="6" t="s">
        <v>41</v>
      </c>
      <c r="K166" s="6" t="s">
        <v>40</v>
      </c>
      <c r="L166" s="6" t="s">
        <v>13</v>
      </c>
      <c r="M166" s="19">
        <v>15000</v>
      </c>
      <c r="N166" s="19"/>
      <c r="O166" s="19">
        <f t="shared" si="53"/>
        <v>15000</v>
      </c>
      <c r="P166" s="33">
        <v>15000</v>
      </c>
      <c r="Q166" s="33"/>
      <c r="R166" s="33">
        <f t="shared" si="58"/>
        <v>15000</v>
      </c>
      <c r="S166" s="33">
        <v>15000</v>
      </c>
      <c r="T166" s="33">
        <f>1000+414+200+2962.4</f>
        <v>4576.3999999999996</v>
      </c>
      <c r="U166" s="33">
        <f t="shared" si="55"/>
        <v>19576.400000000001</v>
      </c>
      <c r="V166" s="33">
        <f t="shared" si="57"/>
        <v>19576.400000000001</v>
      </c>
      <c r="W166" s="33"/>
      <c r="X166" s="33">
        <f t="shared" si="56"/>
        <v>19576.400000000001</v>
      </c>
      <c r="Y166" s="9"/>
      <c r="Z166" s="4"/>
      <c r="AA166" s="50"/>
    </row>
    <row r="167" spans="1:27" ht="53.25" customHeight="1" collapsed="1" x14ac:dyDescent="0.2">
      <c r="A167" s="51"/>
      <c r="B167" s="4"/>
      <c r="C167" s="53"/>
      <c r="D167" s="140" t="s">
        <v>342</v>
      </c>
      <c r="E167" s="141"/>
      <c r="F167" s="141"/>
      <c r="G167" s="141"/>
      <c r="H167" s="142"/>
      <c r="I167" s="68" t="s">
        <v>38</v>
      </c>
      <c r="J167" s="69" t="s">
        <v>37</v>
      </c>
      <c r="K167" s="69" t="s">
        <v>4</v>
      </c>
      <c r="L167" s="69" t="s">
        <v>4</v>
      </c>
      <c r="M167" s="71">
        <f>M168</f>
        <v>1169</v>
      </c>
      <c r="N167" s="71">
        <f t="shared" ref="N167:X167" si="59">N168</f>
        <v>-1000</v>
      </c>
      <c r="O167" s="71">
        <f t="shared" si="59"/>
        <v>169</v>
      </c>
      <c r="P167" s="73">
        <f>P168</f>
        <v>169</v>
      </c>
      <c r="Q167" s="73">
        <f t="shared" si="59"/>
        <v>5700</v>
      </c>
      <c r="R167" s="73">
        <f t="shared" si="59"/>
        <v>5869</v>
      </c>
      <c r="S167" s="73">
        <f>S168</f>
        <v>5869</v>
      </c>
      <c r="T167" s="73">
        <f t="shared" si="59"/>
        <v>-777.1</v>
      </c>
      <c r="U167" s="73">
        <f t="shared" si="59"/>
        <v>5091.8999999999996</v>
      </c>
      <c r="V167" s="73">
        <f t="shared" si="57"/>
        <v>5091.8999999999996</v>
      </c>
      <c r="W167" s="73">
        <f>W168</f>
        <v>0</v>
      </c>
      <c r="X167" s="73">
        <f t="shared" si="59"/>
        <v>5091.8999999999996</v>
      </c>
      <c r="Y167" s="74"/>
      <c r="Z167" s="4"/>
      <c r="AA167" s="50"/>
    </row>
    <row r="168" spans="1:27" ht="45" hidden="1" customHeight="1" outlineLevel="1" x14ac:dyDescent="0.2">
      <c r="A168" s="51"/>
      <c r="B168" s="44"/>
      <c r="C168" s="52"/>
      <c r="D168" s="14"/>
      <c r="E168" s="139" t="s">
        <v>273</v>
      </c>
      <c r="F168" s="136"/>
      <c r="G168" s="136"/>
      <c r="H168" s="136"/>
      <c r="I168" s="15" t="s">
        <v>38</v>
      </c>
      <c r="J168" s="6" t="s">
        <v>37</v>
      </c>
      <c r="K168" s="6" t="s">
        <v>2</v>
      </c>
      <c r="L168" s="6" t="s">
        <v>13</v>
      </c>
      <c r="M168" s="19">
        <v>1169</v>
      </c>
      <c r="N168" s="19">
        <v>-1000</v>
      </c>
      <c r="O168" s="19">
        <f t="shared" si="53"/>
        <v>169</v>
      </c>
      <c r="P168" s="33">
        <v>169</v>
      </c>
      <c r="Q168" s="33">
        <f>1700+4000</f>
        <v>5700</v>
      </c>
      <c r="R168" s="33">
        <f>SUM(P168:Q168)</f>
        <v>5869</v>
      </c>
      <c r="S168" s="33">
        <v>5869</v>
      </c>
      <c r="T168" s="33">
        <f>-100.5-668.6-8</f>
        <v>-777.1</v>
      </c>
      <c r="U168" s="33">
        <f>SUM(S168:T168)</f>
        <v>5091.8999999999996</v>
      </c>
      <c r="V168" s="33">
        <f t="shared" si="57"/>
        <v>5091.8999999999996</v>
      </c>
      <c r="W168" s="33"/>
      <c r="X168" s="33">
        <f>SUM(V168:W168)</f>
        <v>5091.8999999999996</v>
      </c>
      <c r="Y168" s="9"/>
      <c r="Z168" s="4"/>
      <c r="AA168" s="50"/>
    </row>
    <row r="169" spans="1:27" ht="37.5" customHeight="1" collapsed="1" x14ac:dyDescent="0.2">
      <c r="A169" s="51"/>
      <c r="B169" s="4"/>
      <c r="C169" s="53"/>
      <c r="D169" s="140" t="s">
        <v>180</v>
      </c>
      <c r="E169" s="141"/>
      <c r="F169" s="141"/>
      <c r="G169" s="141"/>
      <c r="H169" s="142"/>
      <c r="I169" s="68" t="s">
        <v>36</v>
      </c>
      <c r="J169" s="69" t="s">
        <v>28</v>
      </c>
      <c r="K169" s="69" t="s">
        <v>4</v>
      </c>
      <c r="L169" s="69" t="s">
        <v>4</v>
      </c>
      <c r="M169" s="71">
        <f t="shared" ref="M169:R169" si="60">SUM(M170+M173+M175)</f>
        <v>429473.3</v>
      </c>
      <c r="N169" s="71">
        <f t="shared" si="60"/>
        <v>60.900000000000006</v>
      </c>
      <c r="O169" s="71">
        <f t="shared" si="60"/>
        <v>429534.19999999995</v>
      </c>
      <c r="P169" s="73">
        <f t="shared" si="60"/>
        <v>429534.2</v>
      </c>
      <c r="Q169" s="73">
        <f t="shared" si="60"/>
        <v>-2222.8000000000002</v>
      </c>
      <c r="R169" s="73">
        <f t="shared" si="60"/>
        <v>427311.4</v>
      </c>
      <c r="S169" s="73">
        <f>SUM(S170+S173+S175)</f>
        <v>427311.4</v>
      </c>
      <c r="T169" s="73">
        <f>SUM(T170+T173+T175)</f>
        <v>12590.899999999998</v>
      </c>
      <c r="U169" s="73">
        <f>SUM(U170+U173+U175)</f>
        <v>439902.30000000005</v>
      </c>
      <c r="V169" s="73">
        <f t="shared" si="57"/>
        <v>439902.30000000005</v>
      </c>
      <c r="W169" s="73">
        <f>SUM(W170+W173+W175)</f>
        <v>1762.5</v>
      </c>
      <c r="X169" s="73">
        <f>SUM(X170+X173+X175)</f>
        <v>441664.80000000005</v>
      </c>
      <c r="Y169" s="83"/>
      <c r="Z169" s="4"/>
      <c r="AA169" s="50"/>
    </row>
    <row r="170" spans="1:27" ht="76.5" customHeight="1" x14ac:dyDescent="0.2">
      <c r="A170" s="51"/>
      <c r="B170" s="44"/>
      <c r="C170" s="52"/>
      <c r="D170" s="143" t="s">
        <v>274</v>
      </c>
      <c r="E170" s="138"/>
      <c r="F170" s="138"/>
      <c r="G170" s="138"/>
      <c r="H170" s="138"/>
      <c r="I170" s="84" t="s">
        <v>35</v>
      </c>
      <c r="J170" s="85" t="s">
        <v>28</v>
      </c>
      <c r="K170" s="85" t="s">
        <v>23</v>
      </c>
      <c r="L170" s="85" t="s">
        <v>4</v>
      </c>
      <c r="M170" s="86">
        <f>M171+M172</f>
        <v>242277.69999999998</v>
      </c>
      <c r="N170" s="86">
        <f>N171+N172</f>
        <v>60.900000000000006</v>
      </c>
      <c r="O170" s="86">
        <f>SUM(M170:N170)</f>
        <v>242338.59999999998</v>
      </c>
      <c r="P170" s="87">
        <f>P171+P172</f>
        <v>242338.6</v>
      </c>
      <c r="Q170" s="87">
        <f>Q171+Q172</f>
        <v>-2858</v>
      </c>
      <c r="R170" s="87">
        <f>SUM(P170:Q170)</f>
        <v>239480.6</v>
      </c>
      <c r="S170" s="87">
        <f>S171+S172</f>
        <v>239480.6</v>
      </c>
      <c r="T170" s="87">
        <f>T171+T172</f>
        <v>13183.599999999999</v>
      </c>
      <c r="U170" s="87">
        <f>SUM(S170:T170)</f>
        <v>252664.2</v>
      </c>
      <c r="V170" s="87">
        <f t="shared" si="57"/>
        <v>252664.2</v>
      </c>
      <c r="W170" s="87">
        <f>W171+W172</f>
        <v>1802.5</v>
      </c>
      <c r="X170" s="87">
        <f>SUM(X171:X172)</f>
        <v>254466.7</v>
      </c>
      <c r="Y170" s="111" t="s">
        <v>429</v>
      </c>
      <c r="Z170" s="4"/>
      <c r="AA170" s="50"/>
    </row>
    <row r="171" spans="1:27" ht="84" hidden="1" customHeight="1" outlineLevel="1" x14ac:dyDescent="0.2">
      <c r="A171" s="51"/>
      <c r="B171" s="44"/>
      <c r="C171" s="52"/>
      <c r="D171" s="14"/>
      <c r="E171" s="139" t="s">
        <v>275</v>
      </c>
      <c r="F171" s="136"/>
      <c r="G171" s="136"/>
      <c r="H171" s="136"/>
      <c r="I171" s="15" t="s">
        <v>34</v>
      </c>
      <c r="J171" s="6" t="s">
        <v>28</v>
      </c>
      <c r="K171" s="6" t="s">
        <v>23</v>
      </c>
      <c r="L171" s="6" t="s">
        <v>13</v>
      </c>
      <c r="M171" s="19">
        <v>201846.8</v>
      </c>
      <c r="N171" s="19">
        <v>-84.1</v>
      </c>
      <c r="O171" s="19">
        <f t="shared" ref="O171:O178" si="61">SUM(M171:N171)</f>
        <v>201762.69999999998</v>
      </c>
      <c r="P171" s="33">
        <v>201762.7</v>
      </c>
      <c r="Q171" s="33">
        <f>-2880.4+22.4</f>
        <v>-2858</v>
      </c>
      <c r="R171" s="33">
        <f>SUM(P171:Q171)</f>
        <v>198904.7</v>
      </c>
      <c r="S171" s="33">
        <v>198904.7</v>
      </c>
      <c r="T171" s="33">
        <f>9318.5+2091.3-1100-565+200+50-2500-420+5375+1190-435</f>
        <v>13204.8</v>
      </c>
      <c r="U171" s="33">
        <f>SUM(S171:T171)</f>
        <v>212109.5</v>
      </c>
      <c r="V171" s="33">
        <f t="shared" si="57"/>
        <v>212109.5</v>
      </c>
      <c r="W171" s="33">
        <f>-724+104.5+2422</f>
        <v>1802.5</v>
      </c>
      <c r="X171" s="33">
        <f>SUM(V171:W171)</f>
        <v>213912</v>
      </c>
      <c r="Y171" s="30" t="s">
        <v>422</v>
      </c>
      <c r="Z171" s="4"/>
      <c r="AA171" s="50"/>
    </row>
    <row r="172" spans="1:27" ht="30.75" hidden="1" customHeight="1" outlineLevel="1" x14ac:dyDescent="0.2">
      <c r="A172" s="51"/>
      <c r="B172" s="44"/>
      <c r="C172" s="52"/>
      <c r="D172" s="14"/>
      <c r="E172" s="139" t="s">
        <v>276</v>
      </c>
      <c r="F172" s="136"/>
      <c r="G172" s="136"/>
      <c r="H172" s="136"/>
      <c r="I172" s="15" t="s">
        <v>33</v>
      </c>
      <c r="J172" s="6" t="s">
        <v>28</v>
      </c>
      <c r="K172" s="6" t="s">
        <v>23</v>
      </c>
      <c r="L172" s="6" t="s">
        <v>11</v>
      </c>
      <c r="M172" s="19">
        <v>40430.9</v>
      </c>
      <c r="N172" s="19">
        <v>145</v>
      </c>
      <c r="O172" s="19">
        <f t="shared" si="61"/>
        <v>40575.9</v>
      </c>
      <c r="P172" s="33">
        <v>40575.9</v>
      </c>
      <c r="Q172" s="33"/>
      <c r="R172" s="33">
        <f>SUM(P172:Q172)</f>
        <v>40575.9</v>
      </c>
      <c r="S172" s="33">
        <v>40575.9</v>
      </c>
      <c r="T172" s="33">
        <v>-21.2</v>
      </c>
      <c r="U172" s="33">
        <f>SUM(S172:T172)</f>
        <v>40554.700000000004</v>
      </c>
      <c r="V172" s="33">
        <f t="shared" si="57"/>
        <v>40554.700000000004</v>
      </c>
      <c r="W172" s="33"/>
      <c r="X172" s="33">
        <f>SUM(V172:W172)</f>
        <v>40554.700000000004</v>
      </c>
      <c r="Y172" s="31"/>
      <c r="Z172" s="4"/>
      <c r="AA172" s="50"/>
    </row>
    <row r="173" spans="1:27" ht="31.5" customHeight="1" collapsed="1" x14ac:dyDescent="0.2">
      <c r="A173" s="51"/>
      <c r="B173" s="44"/>
      <c r="C173" s="52"/>
      <c r="D173" s="143" t="s">
        <v>277</v>
      </c>
      <c r="E173" s="138"/>
      <c r="F173" s="138"/>
      <c r="G173" s="138"/>
      <c r="H173" s="138"/>
      <c r="I173" s="84" t="s">
        <v>32</v>
      </c>
      <c r="J173" s="85" t="s">
        <v>28</v>
      </c>
      <c r="K173" s="85" t="s">
        <v>18</v>
      </c>
      <c r="L173" s="85" t="s">
        <v>4</v>
      </c>
      <c r="M173" s="86">
        <f>M174</f>
        <v>1500</v>
      </c>
      <c r="N173" s="86">
        <f>N174</f>
        <v>0</v>
      </c>
      <c r="O173" s="86">
        <f>SUM(M173:N173)</f>
        <v>1500</v>
      </c>
      <c r="P173" s="87">
        <f>P174</f>
        <v>1500</v>
      </c>
      <c r="Q173" s="87">
        <f>Q174</f>
        <v>-600</v>
      </c>
      <c r="R173" s="87">
        <f>SUM(P173:Q173)</f>
        <v>900</v>
      </c>
      <c r="S173" s="87">
        <f>S174</f>
        <v>900</v>
      </c>
      <c r="T173" s="87">
        <f>T174</f>
        <v>-90.7</v>
      </c>
      <c r="U173" s="87">
        <f>SUM(S173:T173)</f>
        <v>809.3</v>
      </c>
      <c r="V173" s="87">
        <f t="shared" si="57"/>
        <v>809.3</v>
      </c>
      <c r="W173" s="87">
        <f>W174</f>
        <v>0</v>
      </c>
      <c r="X173" s="87">
        <f>SUM(V173:W173)</f>
        <v>809.3</v>
      </c>
      <c r="Y173" s="93"/>
      <c r="Z173" s="4"/>
      <c r="AA173" s="50"/>
    </row>
    <row r="174" spans="1:27" ht="46.5" hidden="1" customHeight="1" outlineLevel="1" x14ac:dyDescent="0.2">
      <c r="A174" s="51"/>
      <c r="B174" s="44"/>
      <c r="C174" s="52"/>
      <c r="D174" s="14"/>
      <c r="E174" s="139" t="s">
        <v>278</v>
      </c>
      <c r="F174" s="136"/>
      <c r="G174" s="136"/>
      <c r="H174" s="136"/>
      <c r="I174" s="15" t="s">
        <v>32</v>
      </c>
      <c r="J174" s="6" t="s">
        <v>28</v>
      </c>
      <c r="K174" s="6" t="s">
        <v>18</v>
      </c>
      <c r="L174" s="6" t="s">
        <v>13</v>
      </c>
      <c r="M174" s="19">
        <v>1500</v>
      </c>
      <c r="N174" s="19"/>
      <c r="O174" s="19">
        <f t="shared" si="61"/>
        <v>1500</v>
      </c>
      <c r="P174" s="33">
        <v>1500</v>
      </c>
      <c r="Q174" s="33">
        <v>-600</v>
      </c>
      <c r="R174" s="33">
        <f>SUM(P174:Q174)</f>
        <v>900</v>
      </c>
      <c r="S174" s="33">
        <v>900</v>
      </c>
      <c r="T174" s="33">
        <v>-90.7</v>
      </c>
      <c r="U174" s="33">
        <f>SUM(S174:T174)</f>
        <v>809.3</v>
      </c>
      <c r="V174" s="33">
        <f t="shared" si="57"/>
        <v>809.3</v>
      </c>
      <c r="W174" s="33"/>
      <c r="X174" s="33">
        <f>SUM(V174:W174)</f>
        <v>809.3</v>
      </c>
      <c r="Y174" s="24"/>
      <c r="Z174" s="4"/>
      <c r="AA174" s="50"/>
    </row>
    <row r="175" spans="1:27" ht="87" customHeight="1" collapsed="1" x14ac:dyDescent="0.2">
      <c r="A175" s="51"/>
      <c r="B175" s="44"/>
      <c r="C175" s="52"/>
      <c r="D175" s="143" t="s">
        <v>279</v>
      </c>
      <c r="E175" s="138"/>
      <c r="F175" s="138"/>
      <c r="G175" s="138"/>
      <c r="H175" s="138"/>
      <c r="I175" s="84" t="s">
        <v>31</v>
      </c>
      <c r="J175" s="85" t="s">
        <v>28</v>
      </c>
      <c r="K175" s="85" t="s">
        <v>27</v>
      </c>
      <c r="L175" s="85" t="s">
        <v>4</v>
      </c>
      <c r="M175" s="86">
        <f t="shared" ref="M175:X175" si="62">SUM(M176:M178)</f>
        <v>185695.6</v>
      </c>
      <c r="N175" s="86">
        <f t="shared" si="62"/>
        <v>0</v>
      </c>
      <c r="O175" s="86">
        <f t="shared" si="62"/>
        <v>185695.6</v>
      </c>
      <c r="P175" s="87">
        <f t="shared" si="62"/>
        <v>185695.6</v>
      </c>
      <c r="Q175" s="87">
        <f t="shared" si="62"/>
        <v>1235.1999999999998</v>
      </c>
      <c r="R175" s="87">
        <f t="shared" si="62"/>
        <v>186930.8</v>
      </c>
      <c r="S175" s="87">
        <f t="shared" si="62"/>
        <v>186930.8</v>
      </c>
      <c r="T175" s="87">
        <f t="shared" si="62"/>
        <v>-502</v>
      </c>
      <c r="U175" s="87">
        <f t="shared" si="62"/>
        <v>186428.80000000002</v>
      </c>
      <c r="V175" s="87">
        <f t="shared" si="57"/>
        <v>186428.79999999999</v>
      </c>
      <c r="W175" s="87">
        <f>SUM(W176:W178)</f>
        <v>-40</v>
      </c>
      <c r="X175" s="87">
        <f t="shared" si="62"/>
        <v>186388.80000000002</v>
      </c>
      <c r="Y175" s="88" t="s">
        <v>433</v>
      </c>
      <c r="Z175" s="4"/>
      <c r="AA175" s="50"/>
    </row>
    <row r="176" spans="1:27" ht="48.75" hidden="1" customHeight="1" outlineLevel="1" x14ac:dyDescent="0.2">
      <c r="A176" s="51"/>
      <c r="B176" s="44"/>
      <c r="C176" s="52"/>
      <c r="D176" s="14"/>
      <c r="E176" s="139" t="s">
        <v>280</v>
      </c>
      <c r="F176" s="136"/>
      <c r="G176" s="136"/>
      <c r="H176" s="136"/>
      <c r="I176" s="15" t="s">
        <v>30</v>
      </c>
      <c r="J176" s="6" t="s">
        <v>28</v>
      </c>
      <c r="K176" s="6" t="s">
        <v>27</v>
      </c>
      <c r="L176" s="6" t="s">
        <v>13</v>
      </c>
      <c r="M176" s="19">
        <v>119118</v>
      </c>
      <c r="N176" s="19"/>
      <c r="O176" s="19">
        <f t="shared" si="61"/>
        <v>119118</v>
      </c>
      <c r="P176" s="33">
        <v>119118</v>
      </c>
      <c r="Q176" s="33">
        <f>279.2+960.4-64.8</f>
        <v>1174.8</v>
      </c>
      <c r="R176" s="33">
        <f>SUM(P176:Q176)</f>
        <v>120292.8</v>
      </c>
      <c r="S176" s="33">
        <v>120292.8</v>
      </c>
      <c r="T176" s="33">
        <f>75+146.5+32.9-170-136-51-800-225.4</f>
        <v>-1128</v>
      </c>
      <c r="U176" s="33">
        <f>SUM(S176:T176)</f>
        <v>119164.8</v>
      </c>
      <c r="V176" s="33">
        <f t="shared" si="57"/>
        <v>119164.8</v>
      </c>
      <c r="W176" s="33">
        <v>-50</v>
      </c>
      <c r="X176" s="33">
        <f>SUM(V176:W176)</f>
        <v>119114.8</v>
      </c>
      <c r="Y176" s="9" t="s">
        <v>402</v>
      </c>
      <c r="Z176" s="4"/>
      <c r="AA176" s="50"/>
    </row>
    <row r="177" spans="1:27" ht="65.25" hidden="1" customHeight="1" outlineLevel="1" x14ac:dyDescent="0.2">
      <c r="A177" s="51"/>
      <c r="B177" s="44"/>
      <c r="C177" s="52"/>
      <c r="D177" s="14"/>
      <c r="E177" s="139" t="s">
        <v>281</v>
      </c>
      <c r="F177" s="136"/>
      <c r="G177" s="136"/>
      <c r="H177" s="136"/>
      <c r="I177" s="15" t="s">
        <v>29</v>
      </c>
      <c r="J177" s="6" t="s">
        <v>28</v>
      </c>
      <c r="K177" s="6" t="s">
        <v>27</v>
      </c>
      <c r="L177" s="6" t="s">
        <v>11</v>
      </c>
      <c r="M177" s="19">
        <v>56182.7</v>
      </c>
      <c r="N177" s="19"/>
      <c r="O177" s="19">
        <f t="shared" si="61"/>
        <v>56182.7</v>
      </c>
      <c r="P177" s="33">
        <v>56182.7</v>
      </c>
      <c r="Q177" s="33">
        <f>460.4</f>
        <v>460.4</v>
      </c>
      <c r="R177" s="33">
        <f>SUM(P177:Q177)</f>
        <v>56643.1</v>
      </c>
      <c r="S177" s="33">
        <v>56643.1</v>
      </c>
      <c r="T177" s="33">
        <f>1170+234.5-0.7-220</f>
        <v>1183.8</v>
      </c>
      <c r="U177" s="33">
        <f>SUM(S177:T177)</f>
        <v>57826.9</v>
      </c>
      <c r="V177" s="33">
        <f t="shared" si="57"/>
        <v>57826.9</v>
      </c>
      <c r="W177" s="33">
        <f>-200+210</f>
        <v>10</v>
      </c>
      <c r="X177" s="33">
        <f>SUM(V177:W177)</f>
        <v>57836.9</v>
      </c>
      <c r="Y177" s="9" t="s">
        <v>421</v>
      </c>
      <c r="Z177" s="4"/>
      <c r="AA177" s="50"/>
    </row>
    <row r="178" spans="1:27" ht="56.25" hidden="1" customHeight="1" outlineLevel="1" x14ac:dyDescent="0.2">
      <c r="A178" s="51"/>
      <c r="B178" s="44"/>
      <c r="C178" s="52"/>
      <c r="D178" s="14"/>
      <c r="E178" s="139" t="s">
        <v>282</v>
      </c>
      <c r="F178" s="136"/>
      <c r="G178" s="136"/>
      <c r="H178" s="136"/>
      <c r="I178" s="15" t="s">
        <v>25</v>
      </c>
      <c r="J178" s="6" t="s">
        <v>28</v>
      </c>
      <c r="K178" s="6" t="s">
        <v>27</v>
      </c>
      <c r="L178" s="6" t="s">
        <v>26</v>
      </c>
      <c r="M178" s="19">
        <v>10394.9</v>
      </c>
      <c r="N178" s="19"/>
      <c r="O178" s="19">
        <f t="shared" si="61"/>
        <v>10394.9</v>
      </c>
      <c r="P178" s="33">
        <v>10394.9</v>
      </c>
      <c r="Q178" s="33">
        <v>-400</v>
      </c>
      <c r="R178" s="33">
        <f>SUM(P178:Q178)</f>
        <v>9994.9</v>
      </c>
      <c r="S178" s="33">
        <v>9994.9</v>
      </c>
      <c r="T178" s="33">
        <f>-557.8</f>
        <v>-557.79999999999995</v>
      </c>
      <c r="U178" s="33">
        <f>SUM(S178:T178)</f>
        <v>9437.1</v>
      </c>
      <c r="V178" s="33">
        <f t="shared" si="57"/>
        <v>9437.1</v>
      </c>
      <c r="W178" s="33"/>
      <c r="X178" s="33">
        <f>SUM(V178:W178)</f>
        <v>9437.1</v>
      </c>
      <c r="Y178" s="9"/>
      <c r="Z178" s="4"/>
      <c r="AA178" s="50"/>
    </row>
    <row r="179" spans="1:27" ht="29.25" customHeight="1" collapsed="1" x14ac:dyDescent="0.2">
      <c r="A179" s="51"/>
      <c r="B179" s="4"/>
      <c r="C179" s="53"/>
      <c r="D179" s="140" t="s">
        <v>324</v>
      </c>
      <c r="E179" s="141"/>
      <c r="F179" s="141"/>
      <c r="G179" s="141"/>
      <c r="H179" s="142"/>
      <c r="I179" s="68" t="s">
        <v>24</v>
      </c>
      <c r="J179" s="69" t="s">
        <v>19</v>
      </c>
      <c r="K179" s="69" t="s">
        <v>4</v>
      </c>
      <c r="L179" s="69" t="s">
        <v>4</v>
      </c>
      <c r="M179" s="71">
        <f>M180+M186</f>
        <v>16621.900000000001</v>
      </c>
      <c r="N179" s="71">
        <f>N180+N186</f>
        <v>1024.3</v>
      </c>
      <c r="O179" s="71">
        <f>O180+O186</f>
        <v>17646.2</v>
      </c>
      <c r="P179" s="73">
        <f>P180+P186</f>
        <v>17646.2</v>
      </c>
      <c r="Q179" s="73">
        <f>Q180+Q186+0.1</f>
        <v>37420.699999999997</v>
      </c>
      <c r="R179" s="73">
        <f>R180+R186+0.1</f>
        <v>60066.9</v>
      </c>
      <c r="S179" s="73">
        <f t="shared" ref="S179:X179" si="63">S180+S186</f>
        <v>60066.8</v>
      </c>
      <c r="T179" s="73">
        <f t="shared" si="63"/>
        <v>1513.4</v>
      </c>
      <c r="U179" s="73">
        <f t="shared" si="63"/>
        <v>61580.2</v>
      </c>
      <c r="V179" s="73">
        <f t="shared" si="57"/>
        <v>61580.200000000004</v>
      </c>
      <c r="W179" s="73">
        <f t="shared" si="63"/>
        <v>-239.20000000000002</v>
      </c>
      <c r="X179" s="73">
        <f t="shared" si="63"/>
        <v>61341</v>
      </c>
      <c r="Y179" s="75"/>
      <c r="Z179" s="4"/>
      <c r="AA179" s="50"/>
    </row>
    <row r="180" spans="1:27" ht="72" customHeight="1" x14ac:dyDescent="0.2">
      <c r="A180" s="51"/>
      <c r="B180" s="44"/>
      <c r="C180" s="52"/>
      <c r="D180" s="143" t="s">
        <v>283</v>
      </c>
      <c r="E180" s="138"/>
      <c r="F180" s="138"/>
      <c r="G180" s="138"/>
      <c r="H180" s="138"/>
      <c r="I180" s="84" t="s">
        <v>22</v>
      </c>
      <c r="J180" s="85" t="s">
        <v>19</v>
      </c>
      <c r="K180" s="85" t="s">
        <v>23</v>
      </c>
      <c r="L180" s="85" t="s">
        <v>4</v>
      </c>
      <c r="M180" s="86">
        <f>M185+M181</f>
        <v>0</v>
      </c>
      <c r="N180" s="86">
        <f>N185+N181</f>
        <v>0</v>
      </c>
      <c r="O180" s="86">
        <f>SUM(M180:N180)</f>
        <v>0</v>
      </c>
      <c r="P180" s="87">
        <f>P185+P181+P182</f>
        <v>0</v>
      </c>
      <c r="Q180" s="87">
        <f>Q185+Q181+Q182</f>
        <v>28020.5</v>
      </c>
      <c r="R180" s="87">
        <f t="shared" ref="R180:X180" si="64">R185+R181+R182+R183+R184</f>
        <v>33020.5</v>
      </c>
      <c r="S180" s="87">
        <f t="shared" si="64"/>
        <v>33020.5</v>
      </c>
      <c r="T180" s="87">
        <f t="shared" si="64"/>
        <v>663.40000000000009</v>
      </c>
      <c r="U180" s="87">
        <f t="shared" si="64"/>
        <v>33683.9</v>
      </c>
      <c r="V180" s="87">
        <f t="shared" si="57"/>
        <v>33683.9</v>
      </c>
      <c r="W180" s="87">
        <f t="shared" si="64"/>
        <v>-239.20000000000002</v>
      </c>
      <c r="X180" s="87">
        <f t="shared" si="64"/>
        <v>33444.699999999997</v>
      </c>
      <c r="Y180" s="88" t="s">
        <v>424</v>
      </c>
      <c r="Z180" s="4"/>
      <c r="AA180" s="50"/>
    </row>
    <row r="181" spans="1:27" ht="57" hidden="1" customHeight="1" outlineLevel="1" x14ac:dyDescent="0.2">
      <c r="A181" s="51"/>
      <c r="B181" s="44"/>
      <c r="C181" s="52"/>
      <c r="D181" s="56"/>
      <c r="E181" s="136" t="s">
        <v>315</v>
      </c>
      <c r="F181" s="136"/>
      <c r="G181" s="136"/>
      <c r="H181" s="136"/>
      <c r="I181" s="15" t="s">
        <v>22</v>
      </c>
      <c r="J181" s="6" t="s">
        <v>19</v>
      </c>
      <c r="K181" s="6" t="s">
        <v>23</v>
      </c>
      <c r="L181" s="11" t="s">
        <v>13</v>
      </c>
      <c r="M181" s="19">
        <v>0</v>
      </c>
      <c r="N181" s="19"/>
      <c r="O181" s="19">
        <f>SUM(M181:N181)</f>
        <v>0</v>
      </c>
      <c r="P181" s="33">
        <v>0</v>
      </c>
      <c r="Q181" s="33">
        <f>184+3800</f>
        <v>3984</v>
      </c>
      <c r="R181" s="33">
        <f>SUM(P181:Q181)</f>
        <v>3984</v>
      </c>
      <c r="S181" s="33">
        <v>3984</v>
      </c>
      <c r="T181" s="33">
        <f>-600-76.3</f>
        <v>-676.3</v>
      </c>
      <c r="U181" s="33">
        <f>SUM(S181:T181)</f>
        <v>3307.7</v>
      </c>
      <c r="V181" s="33">
        <f t="shared" si="57"/>
        <v>3307.7</v>
      </c>
      <c r="W181" s="33"/>
      <c r="X181" s="33">
        <f>SUM(V181:W181)</f>
        <v>3307.7</v>
      </c>
      <c r="Y181" s="9"/>
      <c r="Z181" s="4"/>
      <c r="AA181" s="50"/>
    </row>
    <row r="182" spans="1:27" ht="39.75" hidden="1" customHeight="1" outlineLevel="1" x14ac:dyDescent="0.2">
      <c r="A182" s="51"/>
      <c r="B182" s="44"/>
      <c r="C182" s="52"/>
      <c r="D182" s="56"/>
      <c r="E182" s="136" t="s">
        <v>363</v>
      </c>
      <c r="F182" s="136"/>
      <c r="G182" s="136"/>
      <c r="H182" s="136"/>
      <c r="I182" s="15"/>
      <c r="J182" s="6">
        <v>23</v>
      </c>
      <c r="K182" s="6">
        <v>1</v>
      </c>
      <c r="L182" s="11" t="s">
        <v>11</v>
      </c>
      <c r="M182" s="19"/>
      <c r="N182" s="19"/>
      <c r="O182" s="19"/>
      <c r="P182" s="33"/>
      <c r="Q182" s="33">
        <f>5000</f>
        <v>5000</v>
      </c>
      <c r="R182" s="33">
        <f>P182+Q182</f>
        <v>5000</v>
      </c>
      <c r="S182" s="33">
        <v>5000</v>
      </c>
      <c r="T182" s="33">
        <f>1000+100+600+153.7</f>
        <v>1853.7</v>
      </c>
      <c r="U182" s="33">
        <f>S182+T182</f>
        <v>6853.7</v>
      </c>
      <c r="V182" s="33">
        <f t="shared" si="57"/>
        <v>6853.7</v>
      </c>
      <c r="W182" s="33"/>
      <c r="X182" s="33">
        <f>V182+W182</f>
        <v>6853.7</v>
      </c>
      <c r="Y182" s="9"/>
      <c r="Z182" s="4"/>
      <c r="AA182" s="50"/>
    </row>
    <row r="183" spans="1:27" ht="39.75" hidden="1" customHeight="1" outlineLevel="1" x14ac:dyDescent="0.2">
      <c r="A183" s="51"/>
      <c r="B183" s="44"/>
      <c r="C183" s="52"/>
      <c r="D183" s="56"/>
      <c r="E183" s="136" t="s">
        <v>364</v>
      </c>
      <c r="F183" s="136"/>
      <c r="G183" s="136"/>
      <c r="H183" s="136"/>
      <c r="I183" s="15"/>
      <c r="J183" s="6">
        <v>23</v>
      </c>
      <c r="K183" s="6">
        <v>1</v>
      </c>
      <c r="L183" s="11" t="s">
        <v>26</v>
      </c>
      <c r="M183" s="19"/>
      <c r="N183" s="19"/>
      <c r="O183" s="19"/>
      <c r="P183" s="33"/>
      <c r="Q183" s="33">
        <f>3500</f>
        <v>3500</v>
      </c>
      <c r="R183" s="33">
        <f>P183+Q183</f>
        <v>3500</v>
      </c>
      <c r="S183" s="33">
        <v>3500</v>
      </c>
      <c r="T183" s="33">
        <f>-560.4+35</f>
        <v>-525.4</v>
      </c>
      <c r="U183" s="33">
        <f>S183+T183</f>
        <v>2974.6</v>
      </c>
      <c r="V183" s="33">
        <f t="shared" si="57"/>
        <v>2974.6</v>
      </c>
      <c r="W183" s="33"/>
      <c r="X183" s="33">
        <f>V183+W183</f>
        <v>2974.6</v>
      </c>
      <c r="Y183" s="9"/>
      <c r="Z183" s="4"/>
      <c r="AA183" s="50"/>
    </row>
    <row r="184" spans="1:27" ht="52.5" hidden="1" customHeight="1" outlineLevel="1" x14ac:dyDescent="0.2">
      <c r="A184" s="51"/>
      <c r="B184" s="44"/>
      <c r="C184" s="52"/>
      <c r="D184" s="56"/>
      <c r="E184" s="136" t="s">
        <v>365</v>
      </c>
      <c r="F184" s="136"/>
      <c r="G184" s="136"/>
      <c r="H184" s="136"/>
      <c r="I184" s="15"/>
      <c r="J184" s="6">
        <v>23</v>
      </c>
      <c r="K184" s="6">
        <v>1</v>
      </c>
      <c r="L184" s="11" t="s">
        <v>10</v>
      </c>
      <c r="M184" s="19"/>
      <c r="N184" s="19"/>
      <c r="O184" s="19"/>
      <c r="P184" s="33"/>
      <c r="Q184" s="33">
        <v>1500</v>
      </c>
      <c r="R184" s="33">
        <f>P184+Q184</f>
        <v>1500</v>
      </c>
      <c r="S184" s="33">
        <v>1500</v>
      </c>
      <c r="T184" s="33">
        <f>19-7.6</f>
        <v>11.4</v>
      </c>
      <c r="U184" s="33">
        <f>S184+T184</f>
        <v>1511.4</v>
      </c>
      <c r="V184" s="33">
        <v>1511.4</v>
      </c>
      <c r="W184" s="33"/>
      <c r="X184" s="33">
        <f>V184+W184</f>
        <v>1511.4</v>
      </c>
      <c r="Y184" s="9"/>
      <c r="Z184" s="4"/>
      <c r="AA184" s="50"/>
    </row>
    <row r="185" spans="1:27" ht="45.75" hidden="1" customHeight="1" outlineLevel="1" x14ac:dyDescent="0.2">
      <c r="A185" s="51"/>
      <c r="B185" s="44"/>
      <c r="C185" s="52"/>
      <c r="D185" s="14"/>
      <c r="E185" s="139" t="s">
        <v>284</v>
      </c>
      <c r="F185" s="136"/>
      <c r="G185" s="136"/>
      <c r="H185" s="136"/>
      <c r="I185" s="15" t="s">
        <v>22</v>
      </c>
      <c r="J185" s="6" t="s">
        <v>19</v>
      </c>
      <c r="K185" s="6" t="s">
        <v>23</v>
      </c>
      <c r="L185" s="6" t="s">
        <v>17</v>
      </c>
      <c r="M185" s="19">
        <v>0</v>
      </c>
      <c r="N185" s="19"/>
      <c r="O185" s="19">
        <f>SUM(M185:N185)</f>
        <v>0</v>
      </c>
      <c r="P185" s="33">
        <v>0</v>
      </c>
      <c r="Q185" s="33">
        <f>16181+1205.4+1650.1</f>
        <v>19036.5</v>
      </c>
      <c r="R185" s="33">
        <f>SUM(P185:Q185)</f>
        <v>19036.5</v>
      </c>
      <c r="S185" s="33">
        <v>19036.5</v>
      </c>
      <c r="T185" s="33"/>
      <c r="U185" s="33">
        <f>SUM(S185:T185)</f>
        <v>19036.5</v>
      </c>
      <c r="V185" s="33">
        <f t="shared" ref="V185:V190" si="65">SUM(S185:T185)</f>
        <v>19036.5</v>
      </c>
      <c r="W185" s="33">
        <f>-203.3-35.9</f>
        <v>-239.20000000000002</v>
      </c>
      <c r="X185" s="33">
        <f>SUM(V185:W185)</f>
        <v>18797.3</v>
      </c>
      <c r="Y185" s="9" t="s">
        <v>398</v>
      </c>
      <c r="Z185" s="4"/>
      <c r="AA185" s="50"/>
    </row>
    <row r="186" spans="1:27" ht="37.5" customHeight="1" collapsed="1" x14ac:dyDescent="0.2">
      <c r="A186" s="51"/>
      <c r="B186" s="44"/>
      <c r="C186" s="52"/>
      <c r="D186" s="143" t="s">
        <v>285</v>
      </c>
      <c r="E186" s="138"/>
      <c r="F186" s="138"/>
      <c r="G186" s="138"/>
      <c r="H186" s="138"/>
      <c r="I186" s="84" t="s">
        <v>21</v>
      </c>
      <c r="J186" s="85" t="s">
        <v>19</v>
      </c>
      <c r="K186" s="85" t="s">
        <v>18</v>
      </c>
      <c r="L186" s="85" t="s">
        <v>4</v>
      </c>
      <c r="M186" s="86">
        <f>M187+M190</f>
        <v>16621.900000000001</v>
      </c>
      <c r="N186" s="86">
        <f>N187+N190</f>
        <v>1024.3</v>
      </c>
      <c r="O186" s="86">
        <f>SUM(M186:N186)</f>
        <v>17646.2</v>
      </c>
      <c r="P186" s="87">
        <f>P187+P190+P188</f>
        <v>17646.2</v>
      </c>
      <c r="Q186" s="87">
        <f t="shared" ref="Q186:X186" si="66">Q187+Q190+Q188+Q189</f>
        <v>9400.1</v>
      </c>
      <c r="R186" s="87">
        <f t="shared" si="66"/>
        <v>27046.3</v>
      </c>
      <c r="S186" s="87">
        <f t="shared" si="66"/>
        <v>27046.3</v>
      </c>
      <c r="T186" s="87">
        <f t="shared" si="66"/>
        <v>850</v>
      </c>
      <c r="U186" s="87">
        <f t="shared" si="66"/>
        <v>27896.3</v>
      </c>
      <c r="V186" s="87">
        <f t="shared" si="65"/>
        <v>27896.3</v>
      </c>
      <c r="W186" s="87">
        <f t="shared" si="66"/>
        <v>0</v>
      </c>
      <c r="X186" s="87">
        <f t="shared" si="66"/>
        <v>27896.3</v>
      </c>
      <c r="Y186" s="88"/>
      <c r="Z186" s="4"/>
      <c r="AA186" s="50"/>
    </row>
    <row r="187" spans="1:27" ht="39" hidden="1" customHeight="1" outlineLevel="1" x14ac:dyDescent="0.2">
      <c r="A187" s="51"/>
      <c r="B187" s="44"/>
      <c r="C187" s="52"/>
      <c r="D187" s="14"/>
      <c r="E187" s="139" t="s">
        <v>286</v>
      </c>
      <c r="F187" s="136"/>
      <c r="G187" s="136"/>
      <c r="H187" s="136"/>
      <c r="I187" s="15" t="s">
        <v>20</v>
      </c>
      <c r="J187" s="6" t="s">
        <v>19</v>
      </c>
      <c r="K187" s="6" t="s">
        <v>18</v>
      </c>
      <c r="L187" s="6" t="s">
        <v>13</v>
      </c>
      <c r="M187" s="19">
        <v>0</v>
      </c>
      <c r="N187" s="19"/>
      <c r="O187" s="19">
        <f t="shared" ref="O187:O199" si="67">SUM(M187:N187)</f>
        <v>0</v>
      </c>
      <c r="P187" s="33">
        <v>0</v>
      </c>
      <c r="Q187" s="33">
        <v>900</v>
      </c>
      <c r="R187" s="33">
        <f>SUM(P187:Q187)</f>
        <v>900</v>
      </c>
      <c r="S187" s="33">
        <v>900</v>
      </c>
      <c r="T187" s="33">
        <f>-811+9</f>
        <v>-802</v>
      </c>
      <c r="U187" s="33">
        <f>SUM(S187:T187)</f>
        <v>98</v>
      </c>
      <c r="V187" s="33">
        <f t="shared" si="65"/>
        <v>98</v>
      </c>
      <c r="W187" s="33"/>
      <c r="X187" s="33">
        <f>SUM(V187:W187)</f>
        <v>98</v>
      </c>
      <c r="Y187" s="9"/>
      <c r="Z187" s="4"/>
      <c r="AA187" s="50"/>
    </row>
    <row r="188" spans="1:27" ht="38.25" hidden="1" customHeight="1" outlineLevel="1" x14ac:dyDescent="0.2">
      <c r="A188" s="51"/>
      <c r="B188" s="44"/>
      <c r="C188" s="52"/>
      <c r="D188" s="14"/>
      <c r="E188" s="136" t="s">
        <v>366</v>
      </c>
      <c r="F188" s="136"/>
      <c r="G188" s="136"/>
      <c r="H188" s="136"/>
      <c r="I188" s="15"/>
      <c r="J188" s="6">
        <v>23</v>
      </c>
      <c r="K188" s="6">
        <v>2</v>
      </c>
      <c r="L188" s="11" t="s">
        <v>11</v>
      </c>
      <c r="M188" s="19"/>
      <c r="N188" s="19"/>
      <c r="O188" s="19"/>
      <c r="P188" s="33">
        <v>0</v>
      </c>
      <c r="Q188" s="33">
        <v>5000</v>
      </c>
      <c r="R188" s="33">
        <f>P188+Q188</f>
        <v>5000</v>
      </c>
      <c r="S188" s="33">
        <v>5000</v>
      </c>
      <c r="T188" s="33">
        <v>761</v>
      </c>
      <c r="U188" s="33">
        <f>S188+T188</f>
        <v>5761</v>
      </c>
      <c r="V188" s="33">
        <f t="shared" si="65"/>
        <v>5761</v>
      </c>
      <c r="W188" s="33"/>
      <c r="X188" s="33">
        <f>V188+W188</f>
        <v>5761</v>
      </c>
      <c r="Y188" s="9"/>
      <c r="Z188" s="4"/>
      <c r="AA188" s="50"/>
    </row>
    <row r="189" spans="1:27" ht="42" hidden="1" customHeight="1" outlineLevel="1" x14ac:dyDescent="0.2">
      <c r="A189" s="51"/>
      <c r="B189" s="44"/>
      <c r="C189" s="52"/>
      <c r="D189" s="14"/>
      <c r="E189" s="136" t="s">
        <v>367</v>
      </c>
      <c r="F189" s="136"/>
      <c r="G189" s="136"/>
      <c r="H189" s="136"/>
      <c r="I189" s="15"/>
      <c r="J189" s="6">
        <v>23</v>
      </c>
      <c r="K189" s="6">
        <v>2</v>
      </c>
      <c r="L189" s="11" t="s">
        <v>26</v>
      </c>
      <c r="M189" s="19"/>
      <c r="N189" s="19"/>
      <c r="O189" s="19"/>
      <c r="P189" s="33"/>
      <c r="Q189" s="33">
        <v>3500</v>
      </c>
      <c r="R189" s="33">
        <v>3500</v>
      </c>
      <c r="S189" s="33">
        <v>3500</v>
      </c>
      <c r="T189" s="33">
        <v>900</v>
      </c>
      <c r="U189" s="33">
        <f>S189+T189</f>
        <v>4400</v>
      </c>
      <c r="V189" s="33">
        <f t="shared" si="65"/>
        <v>4400</v>
      </c>
      <c r="W189" s="33"/>
      <c r="X189" s="33">
        <f>V189+W189</f>
        <v>4400</v>
      </c>
      <c r="Y189" s="9"/>
      <c r="Z189" s="4"/>
      <c r="AA189" s="50"/>
    </row>
    <row r="190" spans="1:27" ht="30.75" hidden="1" customHeight="1" outlineLevel="1" x14ac:dyDescent="0.2">
      <c r="A190" s="51"/>
      <c r="B190" s="44"/>
      <c r="C190" s="52"/>
      <c r="D190" s="14"/>
      <c r="E190" s="139" t="s">
        <v>284</v>
      </c>
      <c r="F190" s="136"/>
      <c r="G190" s="136"/>
      <c r="H190" s="136"/>
      <c r="I190" s="15" t="s">
        <v>16</v>
      </c>
      <c r="J190" s="6" t="s">
        <v>19</v>
      </c>
      <c r="K190" s="6" t="s">
        <v>18</v>
      </c>
      <c r="L190" s="6" t="s">
        <v>17</v>
      </c>
      <c r="M190" s="19">
        <v>16621.900000000001</v>
      </c>
      <c r="N190" s="19">
        <f>815.6+208.7</f>
        <v>1024.3</v>
      </c>
      <c r="O190" s="19">
        <f t="shared" si="67"/>
        <v>17646.2</v>
      </c>
      <c r="P190" s="33">
        <v>17646.2</v>
      </c>
      <c r="Q190" s="33">
        <f>0.1</f>
        <v>0.1</v>
      </c>
      <c r="R190" s="33">
        <f>SUM(P190:Q190)</f>
        <v>17646.3</v>
      </c>
      <c r="S190" s="33">
        <v>17646.3</v>
      </c>
      <c r="T190" s="33">
        <v>-9</v>
      </c>
      <c r="U190" s="33">
        <f>SUM(S190:T190)</f>
        <v>17637.3</v>
      </c>
      <c r="V190" s="33">
        <f t="shared" si="65"/>
        <v>17637.3</v>
      </c>
      <c r="W190" s="33"/>
      <c r="X190" s="33">
        <f>SUM(V190:W190)</f>
        <v>17637.3</v>
      </c>
      <c r="Y190" s="9"/>
      <c r="Z190" s="4"/>
      <c r="AA190" s="50"/>
    </row>
    <row r="191" spans="1:27" ht="42" customHeight="1" collapsed="1" x14ac:dyDescent="0.2">
      <c r="A191" s="51"/>
      <c r="B191" s="44"/>
      <c r="C191" s="52"/>
      <c r="D191" s="175" t="s">
        <v>181</v>
      </c>
      <c r="E191" s="176"/>
      <c r="F191" s="176"/>
      <c r="G191" s="176"/>
      <c r="H191" s="177"/>
      <c r="I191" s="68" t="s">
        <v>15</v>
      </c>
      <c r="J191" s="132" t="s">
        <v>3</v>
      </c>
      <c r="K191" s="132" t="s">
        <v>2</v>
      </c>
      <c r="L191" s="132" t="s">
        <v>4</v>
      </c>
      <c r="M191" s="71">
        <f t="shared" ref="M191:U191" si="68">M193+M194+M195+M196+M197+M198+M199</f>
        <v>94542.9</v>
      </c>
      <c r="N191" s="71">
        <f t="shared" si="68"/>
        <v>45643.199999999997</v>
      </c>
      <c r="O191" s="71">
        <f t="shared" si="68"/>
        <v>140186.1</v>
      </c>
      <c r="P191" s="73">
        <f t="shared" si="68"/>
        <v>140186.1</v>
      </c>
      <c r="Q191" s="73">
        <f t="shared" si="68"/>
        <v>21535.100000000002</v>
      </c>
      <c r="R191" s="73">
        <f t="shared" si="68"/>
        <v>161721.20000000001</v>
      </c>
      <c r="S191" s="128">
        <f t="shared" si="68"/>
        <v>161721.20000000001</v>
      </c>
      <c r="T191" s="128">
        <f t="shared" si="68"/>
        <v>16665.099999999999</v>
      </c>
      <c r="U191" s="128">
        <f t="shared" si="68"/>
        <v>178386.3</v>
      </c>
      <c r="V191" s="128">
        <f>SUM(S191:T192)</f>
        <v>178386.30000000002</v>
      </c>
      <c r="W191" s="130">
        <f>W193+W194+W195+W196+W197+W198+W199</f>
        <v>-1152.5999999999999</v>
      </c>
      <c r="X191" s="128">
        <f>X193+X194+X195+X196+X197+X198+X199</f>
        <v>177233.69999999998</v>
      </c>
      <c r="Y191" s="134" t="s">
        <v>423</v>
      </c>
      <c r="Z191" s="4"/>
      <c r="AA191" s="50"/>
    </row>
    <row r="192" spans="1:27" ht="53.25" customHeight="1" x14ac:dyDescent="0.2">
      <c r="A192" s="51"/>
      <c r="B192" s="44"/>
      <c r="C192" s="52"/>
      <c r="D192" s="178"/>
      <c r="E192" s="179"/>
      <c r="F192" s="179"/>
      <c r="G192" s="179"/>
      <c r="H192" s="180"/>
      <c r="I192" s="68"/>
      <c r="J192" s="133"/>
      <c r="K192" s="133"/>
      <c r="L192" s="133"/>
      <c r="M192" s="71"/>
      <c r="N192" s="71"/>
      <c r="O192" s="71"/>
      <c r="P192" s="73"/>
      <c r="Q192" s="73"/>
      <c r="R192" s="73"/>
      <c r="S192" s="129"/>
      <c r="T192" s="129"/>
      <c r="U192" s="129"/>
      <c r="V192" s="129"/>
      <c r="W192" s="131"/>
      <c r="X192" s="129"/>
      <c r="Y192" s="135"/>
      <c r="Z192" s="4"/>
      <c r="AA192" s="50"/>
    </row>
    <row r="193" spans="1:28" ht="36.75" hidden="1" customHeight="1" outlineLevel="1" x14ac:dyDescent="0.2">
      <c r="A193" s="51"/>
      <c r="B193" s="44"/>
      <c r="C193" s="52"/>
      <c r="D193" s="14"/>
      <c r="E193" s="139" t="s">
        <v>287</v>
      </c>
      <c r="F193" s="136"/>
      <c r="G193" s="136"/>
      <c r="H193" s="136"/>
      <c r="I193" s="15" t="s">
        <v>14</v>
      </c>
      <c r="J193" s="6" t="s">
        <v>3</v>
      </c>
      <c r="K193" s="6" t="s">
        <v>2</v>
      </c>
      <c r="L193" s="6" t="s">
        <v>13</v>
      </c>
      <c r="M193" s="19">
        <v>10087.9</v>
      </c>
      <c r="N193" s="19"/>
      <c r="O193" s="19">
        <f t="shared" si="67"/>
        <v>10087.9</v>
      </c>
      <c r="P193" s="33">
        <v>10087.9</v>
      </c>
      <c r="Q193" s="33"/>
      <c r="R193" s="33">
        <f t="shared" ref="R193:R199" si="69">SUM(P193:Q193)</f>
        <v>10087.9</v>
      </c>
      <c r="S193" s="33">
        <v>10087.9</v>
      </c>
      <c r="T193" s="33">
        <f>85.2+1100-18.5-32.9+565+1338.7-176.3</f>
        <v>2861.2</v>
      </c>
      <c r="U193" s="33">
        <f t="shared" ref="U193:U199" si="70">SUM(S193:T193)</f>
        <v>12949.099999999999</v>
      </c>
      <c r="V193" s="33">
        <f t="shared" ref="V193:V199" si="71">SUM(S193:T193)</f>
        <v>12949.099999999999</v>
      </c>
      <c r="W193" s="33">
        <v>-32.4</v>
      </c>
      <c r="X193" s="33">
        <f t="shared" ref="X193:X199" si="72">SUM(V193:W193)</f>
        <v>12916.699999999999</v>
      </c>
      <c r="Y193" s="9" t="s">
        <v>403</v>
      </c>
      <c r="Z193" s="4"/>
      <c r="AA193" s="50"/>
      <c r="AB193" s="17"/>
    </row>
    <row r="194" spans="1:28" ht="25.5" hidden="1" customHeight="1" outlineLevel="1" x14ac:dyDescent="0.2">
      <c r="A194" s="51"/>
      <c r="B194" s="44"/>
      <c r="C194" s="52"/>
      <c r="D194" s="14"/>
      <c r="E194" s="136" t="s">
        <v>288</v>
      </c>
      <c r="F194" s="136"/>
      <c r="G194" s="136"/>
      <c r="H194" s="136"/>
      <c r="I194" s="15" t="s">
        <v>12</v>
      </c>
      <c r="J194" s="6" t="s">
        <v>3</v>
      </c>
      <c r="K194" s="6" t="s">
        <v>2</v>
      </c>
      <c r="L194" s="6" t="s">
        <v>11</v>
      </c>
      <c r="M194" s="19">
        <v>12253.4</v>
      </c>
      <c r="N194" s="19"/>
      <c r="O194" s="19">
        <f t="shared" si="67"/>
        <v>12253.4</v>
      </c>
      <c r="P194" s="33">
        <v>12253.4</v>
      </c>
      <c r="Q194" s="33"/>
      <c r="R194" s="33">
        <f t="shared" si="69"/>
        <v>12253.4</v>
      </c>
      <c r="S194" s="33">
        <v>12253.4</v>
      </c>
      <c r="T194" s="33">
        <f>83.8+939.5-303.8</f>
        <v>719.5</v>
      </c>
      <c r="U194" s="33">
        <f t="shared" si="70"/>
        <v>12972.9</v>
      </c>
      <c r="V194" s="33">
        <f t="shared" si="71"/>
        <v>12972.9</v>
      </c>
      <c r="W194" s="33">
        <v>-143.19999999999999</v>
      </c>
      <c r="X194" s="33">
        <f t="shared" si="72"/>
        <v>12829.699999999999</v>
      </c>
      <c r="Y194" s="9" t="s">
        <v>404</v>
      </c>
      <c r="Z194" s="4"/>
      <c r="AA194" s="50"/>
    </row>
    <row r="195" spans="1:28" ht="27.75" hidden="1" customHeight="1" outlineLevel="1" x14ac:dyDescent="0.2">
      <c r="A195" s="51"/>
      <c r="B195" s="44"/>
      <c r="C195" s="52"/>
      <c r="D195" s="14"/>
      <c r="E195" s="139" t="s">
        <v>291</v>
      </c>
      <c r="F195" s="136"/>
      <c r="G195" s="136"/>
      <c r="H195" s="136"/>
      <c r="I195" s="15" t="s">
        <v>9</v>
      </c>
      <c r="J195" s="6" t="s">
        <v>3</v>
      </c>
      <c r="K195" s="6" t="s">
        <v>2</v>
      </c>
      <c r="L195" s="6" t="s">
        <v>10</v>
      </c>
      <c r="M195" s="19">
        <v>1000</v>
      </c>
      <c r="N195" s="19"/>
      <c r="O195" s="19">
        <f t="shared" si="67"/>
        <v>1000</v>
      </c>
      <c r="P195" s="33">
        <v>1000</v>
      </c>
      <c r="Q195" s="33"/>
      <c r="R195" s="33">
        <f t="shared" si="69"/>
        <v>1000</v>
      </c>
      <c r="S195" s="33">
        <v>1000</v>
      </c>
      <c r="T195" s="33">
        <f>-250-274</f>
        <v>-524</v>
      </c>
      <c r="U195" s="33">
        <f t="shared" si="70"/>
        <v>476</v>
      </c>
      <c r="V195" s="33">
        <f t="shared" si="71"/>
        <v>476</v>
      </c>
      <c r="W195" s="33"/>
      <c r="X195" s="33">
        <f t="shared" si="72"/>
        <v>476</v>
      </c>
      <c r="Y195" s="9"/>
      <c r="Z195" s="4"/>
      <c r="AA195" s="50"/>
    </row>
    <row r="196" spans="1:28" ht="105" hidden="1" customHeight="1" outlineLevel="1" x14ac:dyDescent="0.2">
      <c r="A196" s="51"/>
      <c r="B196" s="44"/>
      <c r="C196" s="52"/>
      <c r="D196" s="14"/>
      <c r="E196" s="136" t="s">
        <v>289</v>
      </c>
      <c r="F196" s="136"/>
      <c r="G196" s="136"/>
      <c r="H196" s="136"/>
      <c r="I196" s="15" t="s">
        <v>8</v>
      </c>
      <c r="J196" s="6" t="s">
        <v>3</v>
      </c>
      <c r="K196" s="6" t="s">
        <v>2</v>
      </c>
      <c r="L196" s="6" t="s">
        <v>7</v>
      </c>
      <c r="M196" s="19">
        <v>9230</v>
      </c>
      <c r="N196" s="19">
        <f>43618.2+25-2000+4000</f>
        <v>45643.199999999997</v>
      </c>
      <c r="O196" s="19">
        <f t="shared" si="67"/>
        <v>54873.2</v>
      </c>
      <c r="P196" s="33">
        <v>54873.2</v>
      </c>
      <c r="Q196" s="33">
        <f>875.6+13663.2</f>
        <v>14538.800000000001</v>
      </c>
      <c r="R196" s="33">
        <f t="shared" si="69"/>
        <v>69412</v>
      </c>
      <c r="S196" s="33">
        <v>69412</v>
      </c>
      <c r="T196" s="33">
        <f>769.9+302.7+250+18.5+115+0.4+420+30+1814+3656.5+5.5-3656.5</f>
        <v>3726</v>
      </c>
      <c r="U196" s="33">
        <f t="shared" si="70"/>
        <v>73138</v>
      </c>
      <c r="V196" s="33">
        <f t="shared" si="71"/>
        <v>73138</v>
      </c>
      <c r="W196" s="33"/>
      <c r="X196" s="33">
        <f t="shared" si="72"/>
        <v>73138</v>
      </c>
      <c r="Y196" s="9"/>
      <c r="Z196" s="4"/>
      <c r="AA196" s="50"/>
    </row>
    <row r="197" spans="1:28" ht="57" hidden="1" customHeight="1" outlineLevel="1" x14ac:dyDescent="0.2">
      <c r="A197" s="51"/>
      <c r="B197" s="44"/>
      <c r="C197" s="52"/>
      <c r="D197" s="14"/>
      <c r="E197" s="139" t="s">
        <v>276</v>
      </c>
      <c r="F197" s="136"/>
      <c r="G197" s="136"/>
      <c r="H197" s="136"/>
      <c r="I197" s="15" t="s">
        <v>6</v>
      </c>
      <c r="J197" s="6" t="s">
        <v>3</v>
      </c>
      <c r="K197" s="6" t="s">
        <v>2</v>
      </c>
      <c r="L197" s="6" t="s">
        <v>5</v>
      </c>
      <c r="M197" s="19">
        <v>61971.6</v>
      </c>
      <c r="N197" s="19"/>
      <c r="O197" s="18">
        <f>SUM(M197:N197)</f>
        <v>61971.6</v>
      </c>
      <c r="P197" s="33">
        <v>61971.6</v>
      </c>
      <c r="Q197" s="33">
        <f>7069-72.7</f>
        <v>6996.3</v>
      </c>
      <c r="R197" s="34">
        <f t="shared" si="69"/>
        <v>68967.899999999994</v>
      </c>
      <c r="S197" s="33">
        <v>68967.899999999994</v>
      </c>
      <c r="T197" s="33">
        <f>2905.1-571.1-46.9+3534.3+4140.5-79.5</f>
        <v>9882.4</v>
      </c>
      <c r="U197" s="34">
        <f t="shared" si="70"/>
        <v>78850.299999999988</v>
      </c>
      <c r="V197" s="34">
        <f t="shared" si="71"/>
        <v>78850.299999999988</v>
      </c>
      <c r="W197" s="33">
        <f>-977</f>
        <v>-977</v>
      </c>
      <c r="X197" s="34">
        <f t="shared" si="72"/>
        <v>77873.299999999988</v>
      </c>
      <c r="Y197" s="30" t="s">
        <v>382</v>
      </c>
      <c r="Z197" s="4"/>
      <c r="AA197" s="50"/>
    </row>
    <row r="198" spans="1:28" ht="23.25" hidden="1" customHeight="1" outlineLevel="1" x14ac:dyDescent="0.2">
      <c r="A198" s="51"/>
      <c r="B198" s="44"/>
      <c r="C198" s="52"/>
      <c r="D198" s="14"/>
      <c r="E198" s="139" t="s">
        <v>290</v>
      </c>
      <c r="F198" s="136"/>
      <c r="G198" s="136"/>
      <c r="H198" s="136"/>
      <c r="I198" s="16" t="s">
        <v>0</v>
      </c>
      <c r="J198" s="7" t="s">
        <v>3</v>
      </c>
      <c r="K198" s="7" t="s">
        <v>2</v>
      </c>
      <c r="L198" s="7" t="s">
        <v>1</v>
      </c>
      <c r="M198" s="18">
        <v>0</v>
      </c>
      <c r="N198" s="18"/>
      <c r="O198" s="19">
        <f t="shared" si="67"/>
        <v>0</v>
      </c>
      <c r="P198" s="34">
        <v>0</v>
      </c>
      <c r="Q198" s="34"/>
      <c r="R198" s="33">
        <f t="shared" si="69"/>
        <v>0</v>
      </c>
      <c r="S198" s="34">
        <v>0</v>
      </c>
      <c r="T198" s="34"/>
      <c r="U198" s="33">
        <f t="shared" si="70"/>
        <v>0</v>
      </c>
      <c r="V198" s="33">
        <f t="shared" si="71"/>
        <v>0</v>
      </c>
      <c r="W198" s="34"/>
      <c r="X198" s="33">
        <f t="shared" si="72"/>
        <v>0</v>
      </c>
      <c r="Y198" s="9"/>
      <c r="Z198" s="4"/>
      <c r="AA198" s="50"/>
    </row>
    <row r="199" spans="1:28" ht="69" hidden="1" customHeight="1" outlineLevel="1" thickBot="1" x14ac:dyDescent="0.25">
      <c r="A199" s="57"/>
      <c r="B199" s="58"/>
      <c r="C199" s="59"/>
      <c r="D199" s="60"/>
      <c r="E199" s="149" t="s">
        <v>302</v>
      </c>
      <c r="F199" s="150"/>
      <c r="G199" s="150"/>
      <c r="H199" s="150"/>
      <c r="I199" s="25"/>
      <c r="J199" s="26" t="s">
        <v>3</v>
      </c>
      <c r="K199" s="26" t="s">
        <v>2</v>
      </c>
      <c r="L199" s="26" t="s">
        <v>303</v>
      </c>
      <c r="M199" s="27">
        <v>0</v>
      </c>
      <c r="N199" s="27"/>
      <c r="O199" s="28">
        <f t="shared" si="67"/>
        <v>0</v>
      </c>
      <c r="P199" s="35">
        <v>0</v>
      </c>
      <c r="Q199" s="35"/>
      <c r="R199" s="36">
        <f t="shared" si="69"/>
        <v>0</v>
      </c>
      <c r="S199" s="35">
        <v>0</v>
      </c>
      <c r="T199" s="35"/>
      <c r="U199" s="36">
        <f t="shared" si="70"/>
        <v>0</v>
      </c>
      <c r="V199" s="36">
        <f t="shared" si="71"/>
        <v>0</v>
      </c>
      <c r="W199" s="35"/>
      <c r="X199" s="36">
        <f t="shared" si="72"/>
        <v>0</v>
      </c>
      <c r="Y199" s="29"/>
      <c r="Z199" s="4"/>
      <c r="AA199" s="50"/>
    </row>
    <row r="200" spans="1:28" ht="25.5" customHeight="1" collapsed="1" thickBot="1" x14ac:dyDescent="0.25">
      <c r="A200" s="12"/>
      <c r="B200" s="13"/>
      <c r="C200" s="13"/>
      <c r="D200" s="5"/>
      <c r="E200" s="172" t="s">
        <v>182</v>
      </c>
      <c r="F200" s="173"/>
      <c r="G200" s="173"/>
      <c r="H200" s="173"/>
      <c r="I200" s="173"/>
      <c r="J200" s="173"/>
      <c r="K200" s="173"/>
      <c r="L200" s="174"/>
      <c r="M200" s="94">
        <f t="shared" ref="M200:V200" si="73">(M9+M17+M22+M27+M35+M40+M53+M55+M57+M71+M75+M88+M93+M101+M118+M120+M123+M133+M144+M167+M169+M179+M191)</f>
        <v>4719917.6000000006</v>
      </c>
      <c r="N200" s="94">
        <f t="shared" si="73"/>
        <v>201990.19999999995</v>
      </c>
      <c r="O200" s="94">
        <f t="shared" si="73"/>
        <v>4921907.8</v>
      </c>
      <c r="P200" s="95">
        <f t="shared" si="73"/>
        <v>4921907.8000000007</v>
      </c>
      <c r="Q200" s="95">
        <f t="shared" si="73"/>
        <v>207785.60000000006</v>
      </c>
      <c r="R200" s="95">
        <f t="shared" si="73"/>
        <v>5134693.4000000013</v>
      </c>
      <c r="S200" s="95">
        <f t="shared" si="73"/>
        <v>5134693.4000000004</v>
      </c>
      <c r="T200" s="95">
        <f t="shared" si="73"/>
        <v>294519.81900000008</v>
      </c>
      <c r="U200" s="95">
        <f t="shared" si="73"/>
        <v>5429213.2190000005</v>
      </c>
      <c r="V200" s="95">
        <f t="shared" si="73"/>
        <v>5429213.2190000005</v>
      </c>
      <c r="W200" s="95">
        <f>(W9+W17+W22+W27+W35+W40+W53+W55+W57+W71+W75+W88+W93+W101+W118+W120+W123+W133+W144+W167+W169+W179+W191)</f>
        <v>509331.20000000001</v>
      </c>
      <c r="X200" s="95">
        <f>(X9+X17+X22+X27+X35+X40+X53+X55+X57+X71+X75+X88+X93+X101+X118+X120+X123+X133+X144+X167+X169+X179+X191)</f>
        <v>5938544.4189999998</v>
      </c>
      <c r="Y200" s="96"/>
      <c r="Z200" s="4"/>
      <c r="AA200" s="50"/>
    </row>
    <row r="201" spans="1:28" ht="12.75" hidden="1" customHeight="1" x14ac:dyDescent="0.2">
      <c r="A201" s="1"/>
      <c r="B201" s="1"/>
      <c r="C201" s="10"/>
      <c r="D201" s="10"/>
      <c r="E201" s="10"/>
      <c r="F201" s="10" t="s">
        <v>297</v>
      </c>
      <c r="G201" s="10"/>
      <c r="H201" s="10"/>
      <c r="I201" s="10"/>
      <c r="J201" s="10"/>
      <c r="K201" s="10"/>
      <c r="L201" s="10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39"/>
      <c r="Z201" s="39"/>
      <c r="AA201" s="50"/>
    </row>
    <row r="202" spans="1:28" x14ac:dyDescent="0.2">
      <c r="L202" s="53"/>
      <c r="AA202" s="50"/>
    </row>
    <row r="203" spans="1:28" x14ac:dyDescent="0.2">
      <c r="R203" s="62"/>
      <c r="U203" s="62"/>
      <c r="V203" s="62"/>
      <c r="X203" s="62"/>
      <c r="AA203" s="50"/>
    </row>
    <row r="204" spans="1:28" x14ac:dyDescent="0.2">
      <c r="M204" s="50"/>
      <c r="P204" s="50"/>
      <c r="S204" s="50"/>
      <c r="AA204" s="50"/>
    </row>
    <row r="205" spans="1:28" x14ac:dyDescent="0.2">
      <c r="AA205" s="50"/>
    </row>
    <row r="206" spans="1:28" x14ac:dyDescent="0.2">
      <c r="O206" s="50"/>
      <c r="R206" s="50"/>
      <c r="U206" s="50"/>
      <c r="V206" s="50"/>
      <c r="X206" s="50"/>
      <c r="AA206" s="50"/>
    </row>
    <row r="208" spans="1:28" x14ac:dyDescent="0.2">
      <c r="N208" s="50"/>
      <c r="Q208" s="50"/>
      <c r="T208" s="50"/>
      <c r="W208" s="50"/>
    </row>
  </sheetData>
  <mergeCells count="233">
    <mergeCell ref="R5:R7"/>
    <mergeCell ref="P145:P146"/>
    <mergeCell ref="Q145:Q146"/>
    <mergeCell ref="R145:R146"/>
    <mergeCell ref="E106:H106"/>
    <mergeCell ref="J145:J146"/>
    <mergeCell ref="K145:K146"/>
    <mergeCell ref="L145:L146"/>
    <mergeCell ref="D107:H107"/>
    <mergeCell ref="E103:H103"/>
    <mergeCell ref="E117:H117"/>
    <mergeCell ref="E104:H104"/>
    <mergeCell ref="E109:H109"/>
    <mergeCell ref="E115:H115"/>
    <mergeCell ref="D134:H134"/>
    <mergeCell ref="E125:H125"/>
    <mergeCell ref="E142:H142"/>
    <mergeCell ref="E130:H130"/>
    <mergeCell ref="E136:H136"/>
    <mergeCell ref="E25:H25"/>
    <mergeCell ref="D30:H30"/>
    <mergeCell ref="E95:H95"/>
    <mergeCell ref="J5:L7"/>
    <mergeCell ref="P5:P7"/>
    <mergeCell ref="Q5:Q7"/>
    <mergeCell ref="E96:H96"/>
    <mergeCell ref="D120:H120"/>
    <mergeCell ref="D97:H97"/>
    <mergeCell ref="E111:H111"/>
    <mergeCell ref="E122:H122"/>
    <mergeCell ref="N5:N7"/>
    <mergeCell ref="D28:H28"/>
    <mergeCell ref="D35:H35"/>
    <mergeCell ref="E31:H31"/>
    <mergeCell ref="D27:H27"/>
    <mergeCell ref="E24:H24"/>
    <mergeCell ref="E32:H32"/>
    <mergeCell ref="E34:H34"/>
    <mergeCell ref="E29:H29"/>
    <mergeCell ref="D10:H10"/>
    <mergeCell ref="E11:H11"/>
    <mergeCell ref="E13:H13"/>
    <mergeCell ref="E16:H16"/>
    <mergeCell ref="D33:H33"/>
    <mergeCell ref="M5:M7"/>
    <mergeCell ref="E83:H83"/>
    <mergeCell ref="D12:H12"/>
    <mergeCell ref="D14:H14"/>
    <mergeCell ref="D5:H7"/>
    <mergeCell ref="D71:H71"/>
    <mergeCell ref="D94:H94"/>
    <mergeCell ref="E62:H62"/>
    <mergeCell ref="D41:H41"/>
    <mergeCell ref="E65:H65"/>
    <mergeCell ref="D63:H63"/>
    <mergeCell ref="E59:H59"/>
    <mergeCell ref="E82:H82"/>
    <mergeCell ref="D75:H75"/>
    <mergeCell ref="E67:H67"/>
    <mergeCell ref="E89:H89"/>
    <mergeCell ref="E66:H66"/>
    <mergeCell ref="D53:H53"/>
    <mergeCell ref="D55:H55"/>
    <mergeCell ref="E43:H43"/>
    <mergeCell ref="E48:H48"/>
    <mergeCell ref="E50:H50"/>
    <mergeCell ref="D51:H51"/>
    <mergeCell ref="E45:H45"/>
    <mergeCell ref="D93:H93"/>
    <mergeCell ref="E87:H87"/>
    <mergeCell ref="E37:H37"/>
    <mergeCell ref="E42:H42"/>
    <mergeCell ref="E44:H44"/>
    <mergeCell ref="E46:H46"/>
    <mergeCell ref="E54:H54"/>
    <mergeCell ref="E52:H52"/>
    <mergeCell ref="D118:H118"/>
    <mergeCell ref="E105:H105"/>
    <mergeCell ref="E61:H61"/>
    <mergeCell ref="D99:H99"/>
    <mergeCell ref="E100:H100"/>
    <mergeCell ref="D102:H102"/>
    <mergeCell ref="E98:H98"/>
    <mergeCell ref="E60:H60"/>
    <mergeCell ref="D58:H58"/>
    <mergeCell ref="D47:H47"/>
    <mergeCell ref="D88:H88"/>
    <mergeCell ref="E49:H49"/>
    <mergeCell ref="E84:H84"/>
    <mergeCell ref="D76:H76"/>
    <mergeCell ref="E69:H69"/>
    <mergeCell ref="E70:H70"/>
    <mergeCell ref="E73:H73"/>
    <mergeCell ref="D57:H57"/>
    <mergeCell ref="E72:H72"/>
    <mergeCell ref="E85:H85"/>
    <mergeCell ref="E187:H187"/>
    <mergeCell ref="E193:H193"/>
    <mergeCell ref="E194:H194"/>
    <mergeCell ref="E196:H196"/>
    <mergeCell ref="E195:H195"/>
    <mergeCell ref="E157:H157"/>
    <mergeCell ref="E162:H162"/>
    <mergeCell ref="D161:H161"/>
    <mergeCell ref="E159:H159"/>
    <mergeCell ref="D165:H165"/>
    <mergeCell ref="D191:H192"/>
    <mergeCell ref="E156:H156"/>
    <mergeCell ref="E152:H152"/>
    <mergeCell ref="E153:H153"/>
    <mergeCell ref="D155:H155"/>
    <mergeCell ref="D167:H167"/>
    <mergeCell ref="E163:H163"/>
    <mergeCell ref="E164:H164"/>
    <mergeCell ref="E158:H158"/>
    <mergeCell ref="E166:H166"/>
    <mergeCell ref="E160:H160"/>
    <mergeCell ref="E200:L200"/>
    <mergeCell ref="E168:H168"/>
    <mergeCell ref="D169:H169"/>
    <mergeCell ref="D186:H186"/>
    <mergeCell ref="E174:H174"/>
    <mergeCell ref="E190:H190"/>
    <mergeCell ref="E198:H198"/>
    <mergeCell ref="E197:H197"/>
    <mergeCell ref="E185:H185"/>
    <mergeCell ref="D173:H173"/>
    <mergeCell ref="E172:H172"/>
    <mergeCell ref="D179:H179"/>
    <mergeCell ref="D180:H180"/>
    <mergeCell ref="E181:H181"/>
    <mergeCell ref="E176:H176"/>
    <mergeCell ref="E178:H178"/>
    <mergeCell ref="E182:H182"/>
    <mergeCell ref="E188:H188"/>
    <mergeCell ref="D175:H175"/>
    <mergeCell ref="D170:H170"/>
    <mergeCell ref="E171:H171"/>
    <mergeCell ref="E183:H183"/>
    <mergeCell ref="E184:H184"/>
    <mergeCell ref="E189:H189"/>
    <mergeCell ref="E148:H148"/>
    <mergeCell ref="E151:H151"/>
    <mergeCell ref="E149:H149"/>
    <mergeCell ref="D145:H146"/>
    <mergeCell ref="E140:H140"/>
    <mergeCell ref="E150:H150"/>
    <mergeCell ref="E154:H154"/>
    <mergeCell ref="Y145:Y146"/>
    <mergeCell ref="T145:T146"/>
    <mergeCell ref="U145:U146"/>
    <mergeCell ref="N145:N146"/>
    <mergeCell ref="E199:H199"/>
    <mergeCell ref="Y5:Y7"/>
    <mergeCell ref="D9:H9"/>
    <mergeCell ref="D17:H17"/>
    <mergeCell ref="D22:H22"/>
    <mergeCell ref="E15:H15"/>
    <mergeCell ref="E20:H20"/>
    <mergeCell ref="E21:H21"/>
    <mergeCell ref="I5:I7"/>
    <mergeCell ref="E177:H177"/>
    <mergeCell ref="O5:O7"/>
    <mergeCell ref="E18:H18"/>
    <mergeCell ref="O145:O146"/>
    <mergeCell ref="D101:H101"/>
    <mergeCell ref="E110:H110"/>
    <mergeCell ref="E108:H108"/>
    <mergeCell ref="E56:H56"/>
    <mergeCell ref="T5:T7"/>
    <mergeCell ref="U5:U7"/>
    <mergeCell ref="S5:S7"/>
    <mergeCell ref="S145:S146"/>
    <mergeCell ref="I145:I146"/>
    <mergeCell ref="E26:H26"/>
    <mergeCell ref="D40:H40"/>
    <mergeCell ref="E19:H19"/>
    <mergeCell ref="E23:H23"/>
    <mergeCell ref="E39:H39"/>
    <mergeCell ref="E79:H79"/>
    <mergeCell ref="E80:H80"/>
    <mergeCell ref="D78:H78"/>
    <mergeCell ref="M145:M146"/>
    <mergeCell ref="E64:H64"/>
    <mergeCell ref="D81:H81"/>
    <mergeCell ref="E77:H77"/>
    <mergeCell ref="E91:H91"/>
    <mergeCell ref="E74:H74"/>
    <mergeCell ref="E121:H121"/>
    <mergeCell ref="E90:H90"/>
    <mergeCell ref="D36:H36"/>
    <mergeCell ref="D38:H38"/>
    <mergeCell ref="D139:H139"/>
    <mergeCell ref="E137:H137"/>
    <mergeCell ref="E138:H138"/>
    <mergeCell ref="E135:H135"/>
    <mergeCell ref="E131:H131"/>
    <mergeCell ref="E132:H132"/>
    <mergeCell ref="E126:H126"/>
    <mergeCell ref="E68:I68"/>
    <mergeCell ref="J191:J192"/>
    <mergeCell ref="K191:K192"/>
    <mergeCell ref="L191:L192"/>
    <mergeCell ref="S191:S192"/>
    <mergeCell ref="T191:T192"/>
    <mergeCell ref="U191:U192"/>
    <mergeCell ref="Y191:Y192"/>
    <mergeCell ref="E92:H92"/>
    <mergeCell ref="D86:H86"/>
    <mergeCell ref="E113:H113"/>
    <mergeCell ref="D112:H112"/>
    <mergeCell ref="E119:H119"/>
    <mergeCell ref="D114:H114"/>
    <mergeCell ref="D116:H116"/>
    <mergeCell ref="D133:H133"/>
    <mergeCell ref="D144:H144"/>
    <mergeCell ref="E128:H128"/>
    <mergeCell ref="E127:H127"/>
    <mergeCell ref="D129:H129"/>
    <mergeCell ref="D141:H141"/>
    <mergeCell ref="E143:H143"/>
    <mergeCell ref="D123:H123"/>
    <mergeCell ref="D124:H124"/>
    <mergeCell ref="E147:H147"/>
    <mergeCell ref="W5:W7"/>
    <mergeCell ref="X5:X7"/>
    <mergeCell ref="V5:V7"/>
    <mergeCell ref="V145:V146"/>
    <mergeCell ref="V191:V192"/>
    <mergeCell ref="W145:W146"/>
    <mergeCell ref="X145:X146"/>
    <mergeCell ref="W191:W192"/>
    <mergeCell ref="X191:X192"/>
  </mergeCells>
  <pageMargins left="0.78740157480314965" right="0.39370078740157483" top="0.98425196850393704" bottom="0" header="0.51181102362204722" footer="0.23622047244094491"/>
  <pageSetup paperSize="9" scale="63" fitToHeight="18" orientation="landscape" verticalDpi="300" r:id="rId1"/>
  <headerFooter alignWithMargins="0"/>
  <rowBreaks count="2" manualBreakCount="2">
    <brk id="152" min="3" max="25" man="1"/>
    <brk id="173" min="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Бюджет_3</vt:lpstr>
      <vt:lpstr>Бюджет_3!Заголовки_для_печати</vt:lpstr>
      <vt:lpstr>Бюджет_3!Область_печати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Рянская Елена</cp:lastModifiedBy>
  <cp:lastPrinted>2021-12-14T10:24:30Z</cp:lastPrinted>
  <dcterms:created xsi:type="dcterms:W3CDTF">2020-01-24T05:18:11Z</dcterms:created>
  <dcterms:modified xsi:type="dcterms:W3CDTF">2021-12-13T14:49:19Z</dcterms:modified>
</cp:coreProperties>
</file>