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64011"/>
  <bookViews>
    <workbookView xWindow="0" yWindow="0" windowWidth="22260" windowHeight="12645"/>
  </bookViews>
  <sheets>
    <sheet name="Лист1" sheetId="1" r:id="rId1"/>
  </sheets>
  <definedNames>
    <definedName name="_xlnm.Print_Titles" localSheetId="0">Лист1!$5:$7</definedName>
    <definedName name="_xlnm.Print_Area" localSheetId="0">Лист1!$A$1:$N$178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F9" i="1"/>
  <c r="F8" i="1" s="1"/>
  <c r="J14" i="1" l="1"/>
  <c r="H14" i="1"/>
  <c r="K112" i="1" l="1"/>
  <c r="K113" i="1"/>
  <c r="K114" i="1"/>
  <c r="K115" i="1"/>
  <c r="K116" i="1"/>
  <c r="K117" i="1"/>
  <c r="K118" i="1"/>
  <c r="K119" i="1"/>
  <c r="K104" i="1"/>
  <c r="K105" i="1"/>
  <c r="K106" i="1"/>
  <c r="K107" i="1"/>
  <c r="K108" i="1"/>
  <c r="K109" i="1"/>
  <c r="K110" i="1"/>
  <c r="K111" i="1"/>
  <c r="K97" i="1"/>
  <c r="K98" i="1"/>
  <c r="K99" i="1"/>
  <c r="K100" i="1"/>
  <c r="K103" i="1"/>
  <c r="K96" i="1"/>
  <c r="K13" i="1"/>
  <c r="K17" i="1"/>
  <c r="K18" i="1"/>
  <c r="K19" i="1"/>
  <c r="K20" i="1"/>
  <c r="K21" i="1"/>
  <c r="K22" i="1"/>
  <c r="K26" i="1"/>
  <c r="K28" i="1"/>
  <c r="K31" i="1"/>
  <c r="K32" i="1"/>
  <c r="K33" i="1"/>
  <c r="K34" i="1"/>
  <c r="K36" i="1"/>
  <c r="K42" i="1"/>
  <c r="K43" i="1"/>
  <c r="K44" i="1"/>
  <c r="K46" i="1"/>
  <c r="K47" i="1"/>
  <c r="K48" i="1"/>
  <c r="K50" i="1"/>
  <c r="K52" i="1"/>
  <c r="K53" i="1"/>
  <c r="K54" i="1"/>
  <c r="K55" i="1"/>
  <c r="K56" i="1"/>
  <c r="K57" i="1"/>
  <c r="K58" i="1"/>
  <c r="K59" i="1"/>
  <c r="K60" i="1"/>
  <c r="K61" i="1"/>
  <c r="K62" i="1"/>
  <c r="K63" i="1"/>
  <c r="K65" i="1"/>
  <c r="K66" i="1"/>
  <c r="K67" i="1"/>
  <c r="K68" i="1"/>
  <c r="K69" i="1"/>
  <c r="K71" i="1"/>
  <c r="K72" i="1"/>
  <c r="K73" i="1"/>
  <c r="K74" i="1"/>
  <c r="K76" i="1"/>
  <c r="K77" i="1"/>
  <c r="K81" i="1"/>
  <c r="K82" i="1"/>
  <c r="K83" i="1"/>
  <c r="K84" i="1"/>
  <c r="K85" i="1"/>
  <c r="K86" i="1"/>
  <c r="K87" i="1"/>
  <c r="K88" i="1"/>
  <c r="K89" i="1"/>
  <c r="I142" i="1"/>
  <c r="G142" i="1"/>
  <c r="H148" i="1"/>
  <c r="K158" i="1" l="1"/>
  <c r="K159" i="1"/>
  <c r="K160" i="1"/>
  <c r="K157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23" i="1"/>
  <c r="J13" i="1" l="1"/>
  <c r="H13" i="1"/>
  <c r="J82" i="1" l="1"/>
  <c r="H82" i="1"/>
  <c r="J80" i="1"/>
  <c r="I80" i="1"/>
  <c r="H80" i="1"/>
  <c r="G80" i="1"/>
  <c r="J79" i="1"/>
  <c r="H79" i="1"/>
  <c r="G79" i="1"/>
  <c r="J78" i="1"/>
  <c r="I78" i="1"/>
  <c r="K78" i="1" s="1"/>
  <c r="H78" i="1"/>
  <c r="G78" i="1"/>
  <c r="J75" i="1"/>
  <c r="H75" i="1"/>
  <c r="G75" i="1"/>
  <c r="J72" i="1"/>
  <c r="H72" i="1"/>
  <c r="J70" i="1"/>
  <c r="I70" i="1"/>
  <c r="H70" i="1"/>
  <c r="G70" i="1"/>
  <c r="J68" i="1"/>
  <c r="H68" i="1"/>
  <c r="J65" i="1"/>
  <c r="H65" i="1"/>
  <c r="J64" i="1"/>
  <c r="H64" i="1"/>
  <c r="G64" i="1"/>
  <c r="J60" i="1"/>
  <c r="H60" i="1"/>
  <c r="J59" i="1"/>
  <c r="H59" i="1"/>
  <c r="J53" i="1"/>
  <c r="H53" i="1"/>
  <c r="J51" i="1"/>
  <c r="I51" i="1"/>
  <c r="H51" i="1"/>
  <c r="G51" i="1"/>
  <c r="J49" i="1"/>
  <c r="H49" i="1"/>
  <c r="G49" i="1"/>
  <c r="J48" i="1"/>
  <c r="H48" i="1"/>
  <c r="J45" i="1"/>
  <c r="I45" i="1"/>
  <c r="H45" i="1"/>
  <c r="G45" i="1"/>
  <c r="J43" i="1"/>
  <c r="H43" i="1"/>
  <c r="J42" i="1"/>
  <c r="H42" i="1"/>
  <c r="J41" i="1"/>
  <c r="H41" i="1"/>
  <c r="G41" i="1"/>
  <c r="J40" i="1"/>
  <c r="I40" i="1"/>
  <c r="H40" i="1"/>
  <c r="G40" i="1"/>
  <c r="J39" i="1"/>
  <c r="I39" i="1"/>
  <c r="K39" i="1" s="1"/>
  <c r="H39" i="1"/>
  <c r="J38" i="1"/>
  <c r="I38" i="1"/>
  <c r="H38" i="1"/>
  <c r="G38" i="1"/>
  <c r="J37" i="1"/>
  <c r="I37" i="1"/>
  <c r="H37" i="1"/>
  <c r="G37" i="1"/>
  <c r="J35" i="1"/>
  <c r="H35" i="1"/>
  <c r="G35" i="1"/>
  <c r="K41" i="1" l="1"/>
  <c r="K49" i="1"/>
  <c r="K37" i="1"/>
  <c r="K38" i="1"/>
  <c r="K70" i="1"/>
  <c r="K75" i="1"/>
  <c r="K80" i="1"/>
  <c r="K35" i="1"/>
  <c r="K64" i="1"/>
  <c r="K79" i="1"/>
  <c r="K45" i="1"/>
  <c r="K40" i="1"/>
  <c r="K51" i="1"/>
  <c r="K92" i="1"/>
  <c r="J16" i="1"/>
  <c r="J12" i="1" s="1"/>
  <c r="I16" i="1"/>
  <c r="H16" i="1"/>
  <c r="G16" i="1"/>
  <c r="J15" i="1"/>
  <c r="J11" i="1" s="1"/>
  <c r="I15" i="1"/>
  <c r="H15" i="1"/>
  <c r="G15" i="1"/>
  <c r="I14" i="1"/>
  <c r="G14" i="1"/>
  <c r="H157" i="1"/>
  <c r="J157" i="1"/>
  <c r="H158" i="1"/>
  <c r="J158" i="1"/>
  <c r="J93" i="1"/>
  <c r="J90" i="1" s="1"/>
  <c r="H93" i="1"/>
  <c r="J30" i="1"/>
  <c r="I30" i="1"/>
  <c r="H30" i="1"/>
  <c r="G30" i="1"/>
  <c r="J29" i="1"/>
  <c r="I29" i="1"/>
  <c r="H29" i="1"/>
  <c r="G29" i="1"/>
  <c r="H11" i="1" l="1"/>
  <c r="H12" i="1"/>
  <c r="G10" i="1"/>
  <c r="K14" i="1"/>
  <c r="H90" i="1"/>
  <c r="G11" i="1"/>
  <c r="G12" i="1"/>
  <c r="K29" i="1"/>
  <c r="K30" i="1"/>
  <c r="K15" i="1"/>
  <c r="K16" i="1"/>
  <c r="I11" i="1"/>
  <c r="K11" i="1" s="1"/>
  <c r="I10" i="1"/>
  <c r="K10" i="1" s="1"/>
  <c r="I12" i="1"/>
  <c r="K12" i="1" s="1"/>
  <c r="H10" i="1"/>
  <c r="J10" i="1"/>
  <c r="H121" i="1"/>
  <c r="J121" i="1"/>
  <c r="J102" i="1"/>
  <c r="I102" i="1"/>
  <c r="H102" i="1"/>
  <c r="G102" i="1"/>
  <c r="J101" i="1"/>
  <c r="I101" i="1"/>
  <c r="H101" i="1"/>
  <c r="G101" i="1"/>
  <c r="K95" i="1"/>
  <c r="J27" i="1"/>
  <c r="I27" i="1"/>
  <c r="K27" i="1" s="1"/>
  <c r="H27" i="1"/>
  <c r="G27" i="1"/>
  <c r="J25" i="1"/>
  <c r="I25" i="1"/>
  <c r="K25" i="1" s="1"/>
  <c r="H25" i="1"/>
  <c r="G25" i="1"/>
  <c r="J24" i="1"/>
  <c r="I24" i="1"/>
  <c r="K24" i="1" s="1"/>
  <c r="H24" i="1"/>
  <c r="G24" i="1"/>
  <c r="J23" i="1"/>
  <c r="I23" i="1"/>
  <c r="K23" i="1" s="1"/>
  <c r="H23" i="1"/>
  <c r="G23" i="1"/>
  <c r="H9" i="1" l="1"/>
  <c r="H94" i="1"/>
  <c r="K101" i="1"/>
  <c r="K102" i="1"/>
  <c r="J9" i="1"/>
  <c r="J94" i="1"/>
  <c r="J160" i="1"/>
  <c r="J159" i="1"/>
  <c r="H160" i="1"/>
  <c r="H159" i="1"/>
  <c r="J156" i="1" l="1"/>
  <c r="J8" i="1" s="1"/>
  <c r="H156" i="1"/>
</calcChain>
</file>

<file path=xl/sharedStrings.xml><?xml version="1.0" encoding="utf-8"?>
<sst xmlns="http://schemas.openxmlformats.org/spreadsheetml/2006/main" count="636" uniqueCount="355">
  <si>
    <t>ПБС71873000</t>
  </si>
  <si>
    <t>IST</t>
  </si>
  <si>
    <t>3</t>
  </si>
  <si>
    <t>VID</t>
  </si>
  <si>
    <t>Бухгалтер</t>
  </si>
  <si>
    <t>ExecutorPost</t>
  </si>
  <si>
    <t>5</t>
  </si>
  <si>
    <t>PRD</t>
  </si>
  <si>
    <t>VRO</t>
  </si>
  <si>
    <t>Нараевская Г.В.</t>
  </si>
  <si>
    <t>glbuhg</t>
  </si>
  <si>
    <t>500</t>
  </si>
  <si>
    <t>PRP</t>
  </si>
  <si>
    <t>CentralAccOrg</t>
  </si>
  <si>
    <t>glbuhg2</t>
  </si>
  <si>
    <t>01.01.2019</t>
  </si>
  <si>
    <t>RDT</t>
  </si>
  <si>
    <t>Беликова Е.М.</t>
  </si>
  <si>
    <t>Executor</t>
  </si>
  <si>
    <t>Березин А.С.</t>
  </si>
  <si>
    <t>ruk</t>
  </si>
  <si>
    <t>ГОД</t>
  </si>
  <si>
    <t>RESERVE1</t>
  </si>
  <si>
    <t>5-92-96</t>
  </si>
  <si>
    <t>ExecutorPhone</t>
  </si>
  <si>
    <t>Беккер Ю.Б.</t>
  </si>
  <si>
    <t>ruk2</t>
  </si>
  <si>
    <t>сумма, руб.</t>
  </si>
  <si>
    <t>RESERVE2</t>
  </si>
  <si>
    <t>CentralAccHead</t>
  </si>
  <si>
    <t>8605017420</t>
  </si>
  <si>
    <t>INN</t>
  </si>
  <si>
    <t>ROD</t>
  </si>
  <si>
    <t>CentralAccHeadPost</t>
  </si>
  <si>
    <t>ruk3</t>
  </si>
  <si>
    <t>Реализация дополнительных предпрофессиональных программ в области физической культуры и спорта</t>
  </si>
  <si>
    <t>Реализация дополнительных  общеобразвивающих программ в области физической культуры и спорта</t>
  </si>
  <si>
    <t>Организация отдыха детей и молодежи</t>
  </si>
  <si>
    <t>Обеспечение участия в официальных физкультурных (физкультурно-оздоровительных) мероприятиях (муниципальный уровень)</t>
  </si>
  <si>
    <t>Обеспечение участия в официальных физкультурных (физкультурно-оздоровительных) мероприятиях (региональный уровень)</t>
  </si>
  <si>
    <t>Организация и проведение официальных спортивных мероприятий (муниципальные)</t>
  </si>
  <si>
    <t>Обеспечение участия лиц, проходящих спортивную подготовку, в спортивных соревнованиях (межрегиональные)</t>
  </si>
  <si>
    <t>Обеспечение участия лиц, проходящих спортивную подготовку, в спортивных соревнованиях (всероссийские)</t>
  </si>
  <si>
    <t>Обеспечение доступа к объектам спорта</t>
  </si>
  <si>
    <t>Организация мероприятий по подготовке спортивных сборных команд</t>
  </si>
  <si>
    <t>Организация и проведение физкультурных и спортивных мероприятий в рамках Всероссийского физкультурно-спортивного комплекса «Готов к труду и обороне» (ГТО) (за исключением тестирования выполнения нормативов испытания комплекса ГТО)</t>
  </si>
  <si>
    <t>Проведение тестирования выполнения нормативов испытания (тестов) комплекса ГТО</t>
  </si>
  <si>
    <t>Проведение занятий физкультурно-спортивной направленности по месту проживания граждан</t>
  </si>
  <si>
    <t>Организация и проведение спортивно-оздоровительной работы по развитию физической культуры и спорта среди различных групп населения</t>
  </si>
  <si>
    <t>Расходы по содержанию имущества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</si>
  <si>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</si>
  <si>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</si>
  <si>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</si>
  <si>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</si>
  <si>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</si>
  <si>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</si>
  <si>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</si>
  <si>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</si>
  <si>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Организация и проведение официальных физкультурных (физкультурно-оздоровительных) мероприятий (муниципальный уровень)</t>
  </si>
  <si>
    <t xml:space="preserve">Наименование муниципальных услуг (работ), в соответствии с базовым перечнем </t>
  </si>
  <si>
    <t>Показатели объёма (единица измерения)</t>
  </si>
  <si>
    <t>ОБРАЗОВАНИЕ</t>
  </si>
  <si>
    <t>МУНИЦИПАЛЬНЫЕ УСЛУГИ (РАБОТЫ) - ВСЕГО</t>
  </si>
  <si>
    <t>Х</t>
  </si>
  <si>
    <t>ФИЗИЧЕСКАЯ КУЛЬТУРА И СПОРТ</t>
  </si>
  <si>
    <t xml:space="preserve"> КУЛЬТУРА</t>
  </si>
  <si>
    <t>Техническое сопровождение и эксплуатация, вывод из эксплуатации информационных систем и компонентов информационно-телекоммуникационной инфраструктуры</t>
  </si>
  <si>
    <t>Создание и развитие информационных систем и компонентов информационно-телекоммуникационной инфраструктуры</t>
  </si>
  <si>
    <t>Предоставление программного обеспечения, инженерной, вычислительной и информационно-телекоммуникационной инфраструктуры, в том числе на основе "облачных технологий"</t>
  </si>
  <si>
    <t>Ведение информационных ресурсов и баз данных</t>
  </si>
  <si>
    <t>СВЯЗЬ И ИНФОРМАТИКА</t>
  </si>
  <si>
    <t>620900.P.83.1.05050001000</t>
  </si>
  <si>
    <t>613000.P.83.1.05690002000</t>
  </si>
  <si>
    <t>631110.P.83.1.05280008000</t>
  </si>
  <si>
    <t>620900.P.83.1.05100001000</t>
  </si>
  <si>
    <t>МУНИЦИПАЛЬНЫЕ УСЛУГИ (РАБОТЫ) - ВСЕГО, в том числе:</t>
  </si>
  <si>
    <t>штука</t>
  </si>
  <si>
    <t>человеко/час</t>
  </si>
  <si>
    <t>человеко/день</t>
  </si>
  <si>
    <t>человек</t>
  </si>
  <si>
    <t>Причина неисполнения, менее 98%</t>
  </si>
  <si>
    <t>Не исполнено (количественный показатель)</t>
  </si>
  <si>
    <t>804200О.99.0.ББ52АЗ44000</t>
  </si>
  <si>
    <t xml:space="preserve">Реализация дополнительных общеразвивающих программ </t>
  </si>
  <si>
    <t>802112.О.99.0.ББ55АД16000</t>
  </si>
  <si>
    <t>Реализация дополнительных предпрофессиональных программ в области искусств (живопись)</t>
  </si>
  <si>
    <t>802112О.99.0.ББ55АА80000</t>
  </si>
  <si>
    <t>Реализация дополнительных предпрофессиональных программ в области искусств (струнные инструменты)</t>
  </si>
  <si>
    <t>802112О.99.0.ББ55АБ36000</t>
  </si>
  <si>
    <t>Реализация дополнительных предпрофессиональных программ в области искусств (духовые инструменты)</t>
  </si>
  <si>
    <t>802112О.99.0.ББ55АЕ84000</t>
  </si>
  <si>
    <t>Реализация дополнительных предпрофессиональных программ в области искусств (хореографическое творчество)</t>
  </si>
  <si>
    <t>802112О.99.0.ББ55АБ92000</t>
  </si>
  <si>
    <t>Реализация дополнительных предпрофессиональных программ в области искусств (народные инструменты)</t>
  </si>
  <si>
    <t>80110120.99.0.ББ56АЖ1600</t>
  </si>
  <si>
    <t>Реализация дополнительных предпрофессиональных программ в области искусств (инструменты эстрадного оркестра)</t>
  </si>
  <si>
    <t>802112О.99.0.ББ55АА24000</t>
  </si>
  <si>
    <t>Реализация дополнительных предпрофессиональных программ в области искусств (фортепиано)</t>
  </si>
  <si>
    <t>11г.43000303600001002100</t>
  </si>
  <si>
    <t>Реализация дополнительных общеобразовательных программ в области искусств для контингента, принятого на обучение до 01.09.2016 г.</t>
  </si>
  <si>
    <t>920700О.99.0.АЗ22АА01001</t>
  </si>
  <si>
    <t>910200О.99.0.ББ69АА00000</t>
  </si>
  <si>
    <t>Публичный показ музейных предметов, музейных коллекций</t>
  </si>
  <si>
    <t>910200О.99.0.ББ69АА01000</t>
  </si>
  <si>
    <t>единиц</t>
  </si>
  <si>
    <t>910100О.99.0.ББ83АА00000</t>
  </si>
  <si>
    <t>Библиотечное, библиографическое и информационное обслуживание пользователей библиотеки</t>
  </si>
  <si>
    <t>900400.О.99.0.ББ80АА00000</t>
  </si>
  <si>
    <t>Показ (организация показа) спектаклей (театральных постановок)</t>
  </si>
  <si>
    <t>900100О.99.0.ББ81АА00000</t>
  </si>
  <si>
    <t>Показ (организация показа) концертов и концертных программ</t>
  </si>
  <si>
    <t>591400О.99.0.ББ85АА01000</t>
  </si>
  <si>
    <t>Показ кинофильмов</t>
  </si>
  <si>
    <t>910200.Р.83.1.04980001000</t>
  </si>
  <si>
    <t>Выявление, изучение, сохранение, развитие и популяризация объектов нематериального культурного наследия народов Российской Федерации в области традиционной народной культуры</t>
  </si>
  <si>
    <t>799012.Р.83.1.05530001000</t>
  </si>
  <si>
    <t>Оказание туристско-информационных услуг</t>
  </si>
  <si>
    <t>910200.Р.83.1.05230001000</t>
  </si>
  <si>
    <t>Создание экспозиций (выставок) музеев, организация выездных выставок</t>
  </si>
  <si>
    <t>910200.Р.83.1.06990001000</t>
  </si>
  <si>
    <t>Осуществление экскурсионного обслуживания</t>
  </si>
  <si>
    <t>едениц</t>
  </si>
  <si>
    <t>910200.Р.83.1.04900001000</t>
  </si>
  <si>
    <t>Формирование, учет, изучение, обеспечение сохранения и безопасности музейных предметов, музейных коллекций</t>
  </si>
  <si>
    <t>900400.Р.83.1.04950006000</t>
  </si>
  <si>
    <t>Организация и проведение культурно-массовых мероприятий (творческие (фестиваль, выставка, конкурс, смотр))</t>
  </si>
  <si>
    <t>Организация и проведение культурно-массовых мероприятий (творческие (фестиваль, выставка, конкурс, смотр))(творческие)</t>
  </si>
  <si>
    <t>900400.Р.83.1.04950001000</t>
  </si>
  <si>
    <t>Организация и проведение культурно-массовых мероприятий (методические (семинар, конференция))</t>
  </si>
  <si>
    <t>900400.Р.83.1.04950005000</t>
  </si>
  <si>
    <t>Организация и проведение культурно-массовых мероприятий (культурно-массовые (иные зрелищные) мероприятия)</t>
  </si>
  <si>
    <t>910100.Р.83.1.05930001000</t>
  </si>
  <si>
    <t>Библиографическая обработка документов и создание каталогов</t>
  </si>
  <si>
    <t>рублей</t>
  </si>
  <si>
    <t>Содержание образование</t>
  </si>
  <si>
    <t>Вледствие неблагоприятных погодных условий не проведены детские программы на уличных площадках города</t>
  </si>
  <si>
    <t>801012О.99.0.ББ54АО68000</t>
  </si>
  <si>
    <t>804200О.99.0.ББ52АЕ52000</t>
  </si>
  <si>
    <t>931100.Р.86.1.05860001002</t>
  </si>
  <si>
    <t>Организация и проведение официальных спортивных мероприятий (муниципальный уровень)</t>
  </si>
  <si>
    <t>931100.Р.86.1.05370001002</t>
  </si>
  <si>
    <t>931910.Р.86.1.05030002001</t>
  </si>
  <si>
    <t>931900.Р.86.1.05210004002</t>
  </si>
  <si>
    <t xml:space="preserve">Обеспечение участия спортивных сборных команд в официальных спортивных мероприятиях (региональные) </t>
  </si>
  <si>
    <t>931910.Р.86.1.05020002001</t>
  </si>
  <si>
    <t xml:space="preserve">Обеспечение участия в официальных физкультурных (физкультурно-оздоровительных) мероприятий (муниципальные) </t>
  </si>
  <si>
    <t>931900О.99.0.БВ27АБ17006</t>
  </si>
  <si>
    <t>Лыжные гонки, тренировочный этап</t>
  </si>
  <si>
    <t>931900О.99.0.БВ27АВ52006</t>
  </si>
  <si>
    <t>Художественная гимнастика, тренировочный этап</t>
  </si>
  <si>
    <t>931900О.99.0.БВ27АБ42006</t>
  </si>
  <si>
    <t>Прыжки на батуте, тренировочный этап</t>
  </si>
  <si>
    <t>931900О.99.0.БВ27АА27006</t>
  </si>
  <si>
    <t>Бокс, тренировочный этап</t>
  </si>
  <si>
    <t>931900О.99.0.БВ27АВ56001</t>
  </si>
  <si>
    <t>каратэ, тренировочный этап</t>
  </si>
  <si>
    <t>931900О.99.0.БВ27АБ43006</t>
  </si>
  <si>
    <t>Прыжки на батуте, этап совершенствования спортивного мастерства</t>
  </si>
  <si>
    <t>931900О.99.0.БВ27АА28006</t>
  </si>
  <si>
    <t xml:space="preserve">Бокс, этап совершенствования спортивного мастерства </t>
  </si>
  <si>
    <t>931900О.99.0.БВ27АВ53006</t>
  </si>
  <si>
    <t>Художественная гимнастика, этап совершенствования спортивного мастерства</t>
  </si>
  <si>
    <t>931900О.99.0.БВ27АВ27006</t>
  </si>
  <si>
    <t>Фигурное катание, тренировочный этап</t>
  </si>
  <si>
    <t>931900О.99.0.БВ27АВ28006</t>
  </si>
  <si>
    <t>Фигурное катание, этап совершенствования спортивного мастерства</t>
  </si>
  <si>
    <t>931900О.99.0.БВ27АВ42006</t>
  </si>
  <si>
    <t>Хоккей, тренировочный этап</t>
  </si>
  <si>
    <t>931900О.99.0.БВ28АБ86000</t>
  </si>
  <si>
    <t>полиатлон, тренировочный этап</t>
  </si>
  <si>
    <t>931900О.99.0.БВ28АБ66000</t>
  </si>
  <si>
    <t>Пауэрлифтинг, тренировочный этап</t>
  </si>
  <si>
    <t>931900О.99.0.БВ28АА46000</t>
  </si>
  <si>
    <t>Армрестлинг, тренировочный этап</t>
  </si>
  <si>
    <t>931900О.99.0.БВ28АВ11000</t>
  </si>
  <si>
    <t>Рукопашный бой, тренировочный этап</t>
  </si>
  <si>
    <t>931900О.99.0.БВ28АВ77000</t>
  </si>
  <si>
    <t>Спортивная акробатика, этап совершенствования спортивного мастерства</t>
  </si>
  <si>
    <t>931900О.99.0.БВ28АБ67000</t>
  </si>
  <si>
    <t>Пауэрлифтинг, этап совершенствования спортивного мастерства</t>
  </si>
  <si>
    <t>931900.Р.86.1.05020001001</t>
  </si>
  <si>
    <t xml:space="preserve">Организация и проведение официальных физкультурных (физкультурно-оздоровительных) мероприятий (муниципальные) </t>
  </si>
  <si>
    <t>931900.Р.86.1.06250006003</t>
  </si>
  <si>
    <t>Обеспечение участия лиц, проходящих спортивную подготовку, в спортивных соревнованиях (региональный уровень)</t>
  </si>
  <si>
    <t>931900.Р.86.1.06250008002</t>
  </si>
  <si>
    <t>931900.Р.86.1.06250007002</t>
  </si>
  <si>
    <t>931100.Р.86.1.06080001001</t>
  </si>
  <si>
    <t>931900.Р.86.1.06050002001</t>
  </si>
  <si>
    <t>931900.Р.86.1.07000205003</t>
  </si>
  <si>
    <t>931900.Р.86.1.05200001001</t>
  </si>
  <si>
    <t>931900.Р.86.1.06600055002</t>
  </si>
  <si>
    <t>931910.Р.86.1.05020054001</t>
  </si>
  <si>
    <t xml:space="preserve">Обеспечение участия в официальных физкультурных (физкультурно-оздоровительных) мероприятиях  (всероссийские) </t>
  </si>
  <si>
    <t>Спортивная подготовка по олимпийским видам спорта, в том числе:</t>
  </si>
  <si>
    <t>Спортивная подготовка по неолимпийским видам спорта, в том числе:</t>
  </si>
  <si>
    <t>Организация отдыха детей и молодежи (спорт)</t>
  </si>
  <si>
    <t>Организация отдыха детей и молодежи (культура)</t>
  </si>
  <si>
    <t>Исполнители:</t>
  </si>
  <si>
    <t xml:space="preserve"> Сяфукова Эльвира Мягзумовна, телефон 8(34643)96335*3146 #</t>
  </si>
  <si>
    <t xml:space="preserve"> Кузнецова Александра Евгеньевна, телефон 8(34643)96335*3144#</t>
  </si>
  <si>
    <t xml:space="preserve"> Мыйня Виктория Валерьевна, телефон 8(34643)96335*3142 #</t>
  </si>
  <si>
    <t>Расходы по содержанию имущества (в области образования и молодежной политики)</t>
  </si>
  <si>
    <t>Расходы по содержанию имущества (дополнительное образование в области культуры)</t>
  </si>
  <si>
    <t>Расходы по содержанию имущества (дополнительное образование в области  физической культуры)</t>
  </si>
  <si>
    <t>Реализация основных общеобразовательных программ дошкольного образования (адаптированная образовательная программа, Обучающиеся с ограниченными возможностями здоровья (ОВЗ), От 3 лет до 8 лет)</t>
  </si>
  <si>
    <t>Реализация основных общеобразовательных программ дошкольного образования (адаптированная образовательная программа, заочная с применением сетевой формы реализации, Обучающиеся с ограниченными возможностями здоровья (ОВЗ), До 3 лет)</t>
  </si>
  <si>
    <t>Реализация основных общеобразовательных программ дошкольного образования (адаптированная образовательная программа, Дети-инвалиды, От 3 лет до 8 лет)</t>
  </si>
  <si>
    <t>Реализация основных общеобразовательных программ дошкольного образования (Обучающиеся за исключением обучающихся с ограниченными возможностями здоровья (ОВЗ) и детей-инвалидов, От 1 года до 3 лет)</t>
  </si>
  <si>
    <t>Реализация основных общеобразовательных программ дошкольного образования (Обучающиеся за исключением обучающихся с ограниченными возможностями здоровья (ОВЗ) и детей-инвалидов, От 3 лет до 8 лет)</t>
  </si>
  <si>
    <t>Реализация основных общеобразовательных программ дошкольного образования (От 1 года до 3 лет)</t>
  </si>
  <si>
    <t>Реализация основных общеобразовательных программ дошкольного образования (От 3 лет до 8 лет)</t>
  </si>
  <si>
    <t>Реализация основных общеобразовательных программ начального общего образования (обучающиеся с ограниченными возможностями здоровья (ОВЗ), адаптированная образовательная программа)</t>
  </si>
  <si>
    <t>Реализация основных общеобразовательных программ начального общего образования ( обучающиеся с ограниченными возможностями здоровья (ОВЗ), адаптированная образовательная программа, проходящие обучение по состоянию здоровья на дому)</t>
  </si>
  <si>
    <t>Реализация основных общеобразовательных программ начального общего образования (дети-инвалиды, адаптированная образовательная программа, проходящие обучение по состоянию здоровья на дому)</t>
  </si>
  <si>
    <t>Реализация основных общеобразовательных программ начального общего образования (обучающиеся за исключением обучающихся с ограниченными возможностями здоровья (ОВЗ) и детей-инвалидов)</t>
  </si>
  <si>
    <t>Реализация основных общеобразовательных программ начального общего образования (обучающиеся за исключением обучающихся с ограниченными возможностями здоровья (ОВЗ) и детей-инвалидов, проходящие обучение по состоянию здоровья на дому)</t>
  </si>
  <si>
    <t>Реализация основных общеобразовательных программ начального общего образования (обучающиеся с ограниченными возможностями здоровья (ОВЗ))</t>
  </si>
  <si>
    <t>Реализация основных общеобразовательных программ начального общего образования (обучающиеся с ограниченными возможностями здоровья (ОВЗ), проходящие обучение по состоянию здоровья на дому)</t>
  </si>
  <si>
    <t>Реализация основных общеобразовательных программ начального общего образования (дети-инвалиды)</t>
  </si>
  <si>
    <t>Реализация основных общеобразовательных программ начального общего образования (дети-инвалиды, проходящие обучение по состоянию здоровья на дому)</t>
  </si>
  <si>
    <t>Реализация основных общеобразовательных программ начального общего образования</t>
  </si>
  <si>
    <t>Реализация основных общеобразовательных программ начального общего образования (Очная с применением дистанционных образовательных технологий)</t>
  </si>
  <si>
    <t>Реализация основных общеобразовательных программ начального общего образования (проходящие обучение по состоянию здоровья на дому)</t>
  </si>
  <si>
    <t>Реализация адаптированных основных общеобразовательных программ начального общего образования (слабовидящие)</t>
  </si>
  <si>
    <t>Реализация адаптированных основных общеобразовательных программ начального общего образования (с тяжелыми нарушениями речи)</t>
  </si>
  <si>
    <t>Реализация адаптированных основных общеобразовательных программ начального общего образования (с тяжелыми нарушениями речи, проходящие обучение по состоянию здоровья на дому)</t>
  </si>
  <si>
    <t>Реализация адаптированных основных общеобразовательных программ начального общего образования (с задержкой психического развития)</t>
  </si>
  <si>
    <t>Реализация дополнительных общеобразовательных профессиональных программ в области искусств (Декоративно-прикладное творчество)</t>
  </si>
  <si>
    <t>Реализация основных общеобразовательных программ основного общего образования (обучающиеся с ограниченными возможностями здоровья (ОВЗ), адаптированная образовательная программа)</t>
  </si>
  <si>
    <t>Реализация основных общеобразовательных программ основного общего образования (обучающиеся с ограниченными возможностями здоровья (ОВЗ), адаптированная образовательная программа, проходящие обучение по состоянию здоровья на дому)</t>
  </si>
  <si>
    <t>Реализация основных общеобразовательных программ основного общего образования (обучающиеся с ограниченными возможностями здоровья (ОВЗ),очная с применением дистанционных образовательных технологий, адаптированная образовательная программа, проходящие обучение по состоянию здоровья на дому)</t>
  </si>
  <si>
    <t>Реализация основных общеобразовательных программ основного общего образования (дети-инвалиды, адаптированная образовательная программа, проходящие обучение по состоянию здоровья на дому)</t>
  </si>
  <si>
    <t>Реализация основных общеобразовательных программ основного общего образования (образовательная программа, обеспечивающая углубленное изучение отдельных учебных предметов, предметных областей (профильное обучение))</t>
  </si>
  <si>
    <t>Реализация основных общеобразовательных программ основного общего образования (обучающиеся за исключением обучающихся с ограниченными возможностями здоровья (ОВЗ) и детей-инвалидов)</t>
  </si>
  <si>
    <t>Реализация основных общеобразовательных программ основного общего образования (обучающиеся за исключением обучающихся с ограниченными возможностями здоровья (ОВЗ) и детей-инвалидов, проходящие обучение по состоянию здоровья на дому)</t>
  </si>
  <si>
    <t>Реализация основных общеобразовательных программ основного общего образования (обучающиеся с ограниченными возможностями здоровья (ОВЗ))</t>
  </si>
  <si>
    <t>Реализация основных общеобразовательных программ основного общего образования (обучающиеся с ограниченными возможностями здоровья (ОВЗ), проходящие обучение по состоянию здоровья на дому)</t>
  </si>
  <si>
    <t>Реализация основных общеобразовательных программ основного общего образования (дети-инвалиды)</t>
  </si>
  <si>
    <t>Реализация основных общеобразовательных программ основного общего образования (дети-инвалиды, проходящие обучение по состоянию здоровья на дому)</t>
  </si>
  <si>
    <t>Реализация основных общеобразовательных программ основного общего образования</t>
  </si>
  <si>
    <t>Реализация основных общеобразовательных программ основного общего образования (Очная с применением дистанционных образовательных технологий)</t>
  </si>
  <si>
    <t>Реализация основных общеобразовательных программ основного общего образования (проходящие обучение по состоянию здоровья на дому)</t>
  </si>
  <si>
    <t>Реализация основных общеобразовательных программ основного общего образования (Очная с применением дистанционных образовательных технологий, проходящие обучение по состоянию здоровья на дому)</t>
  </si>
  <si>
    <t>Реализация основных общеобразовательных программ среднего общего образования (обучающиеся с ограниченными возможностями здоровья (ОВЗ), адаптированная образовательная программа)</t>
  </si>
  <si>
    <t>Реализация основных общеобразовательных программ среднего общего образования (обучающиеся за исключением обучающихся с ограниченными возможностями здоровья (ОВЗ) и детей-инвалидов, образовательная программа, обеспечивающая углубленное изучение отдельных учебных предметов, предметных областей (профильное обучение))</t>
  </si>
  <si>
    <t>Реализация основных общеобразовательных программ среднего общего образования (обучающиеся с ограниченными возможностями здоровья (ОВЗ) образовательная программа, обеспечивающая углубленное изучение отдельных учебных предметов, предметных областей (профильное обучение)</t>
  </si>
  <si>
    <t>Реализация основных общеобразовательных программ среднего общего образования (дети-инвалиды, образовательная программа, обеспечивающая углубленное изучение отдельных учебных предметов, предметных областей (профильное обучение))</t>
  </si>
  <si>
    <t>Реализация основных общеобразовательных программ среднего общего образования (образовательная программа, обеспечивающая углубленное изучение отдельных учебных предметов, предметных областей (профильное обучение))</t>
  </si>
  <si>
    <t>Реализация основных общеобразовательных программ среднего общего образования  (обучающиеся за исключением обучающихся с ограниченными возможностями здоровья (ОВЗ) и детей-инвалидов)</t>
  </si>
  <si>
    <t>Реализация основных общеобразовательных программ среднего общего образования</t>
  </si>
  <si>
    <t>Реализация основных общеобразовательных программ среднего общего образования (Очная с применением дистанционных образовательных технологий)</t>
  </si>
  <si>
    <t>Реализация основных общеобразовательных программ среднего общего образования (проходящие обучение по состоянию здоровья на дому)</t>
  </si>
  <si>
    <t>Реализация основных дополнительных общеразвивающих программ</t>
  </si>
  <si>
    <t>Организация временного трудоустройства</t>
  </si>
  <si>
    <t>Организация отдыха детей и молодежи (в каникулярное время с круглосуточным пребыванием)</t>
  </si>
  <si>
    <t>Организация отдыха детей и молодежи (в каникулярное время с дневным пребыванием)</t>
  </si>
  <si>
    <t>801011О.99.0.БВ24АВ42000</t>
  </si>
  <si>
    <t>801011О.99.0.БВ24АД62000</t>
  </si>
  <si>
    <t>801011О.99.0.БВ24АК62000</t>
  </si>
  <si>
    <t>801011О.99.0.БВ24ВТ22000</t>
  </si>
  <si>
    <t>801011О.99.0.БВ24ВУ42000</t>
  </si>
  <si>
    <t>801011О.99.0.БВ24ДМ62000</t>
  </si>
  <si>
    <t>801011О.99.0.БВ24ДН82000</t>
  </si>
  <si>
    <t>801012О.99.0.БА81АА00001</t>
  </si>
  <si>
    <t>801012О.99.0.БА81АА24001</t>
  </si>
  <si>
    <t>801012О.99.0.БА81АБ68001</t>
  </si>
  <si>
    <t>801012О.99.0.БА81АЦ60001</t>
  </si>
  <si>
    <t>801012О.99.0.БА81АЦ84001</t>
  </si>
  <si>
    <t>801012О.99.0.БА81АШ04001</t>
  </si>
  <si>
    <t>801012О.99.0.БА81АШ28001</t>
  </si>
  <si>
    <t>801012О.99.0.БА81АЩ48001</t>
  </si>
  <si>
    <t>801012О.99.0.БА81АЩ72001</t>
  </si>
  <si>
    <t>801012О.99.0.БА81АЭ92001</t>
  </si>
  <si>
    <t>801012О.99.0.БА81АЭ93001</t>
  </si>
  <si>
    <t>801012О.99.0.БА81АЮ16001</t>
  </si>
  <si>
    <t>801012О.99.0.БА82АЖ16001</t>
  </si>
  <si>
    <t>801012О.99.0.БА82АЗ70001</t>
  </si>
  <si>
    <t>801012О.99.0.БА82АЗ96001</t>
  </si>
  <si>
    <t>801012О.99.0.БА82АЛ78001</t>
  </si>
  <si>
    <t>801012О.99.0.ББ53АГ57003</t>
  </si>
  <si>
    <t>802111О.99.0.БА96АА00001</t>
  </si>
  <si>
    <t>802111О.99.0.БА96АА25001</t>
  </si>
  <si>
    <t>802111О.99.0.БА96АА26001</t>
  </si>
  <si>
    <t>802111О.99.0.БА96АБ75001</t>
  </si>
  <si>
    <t>802111О.99.0.БА96АП76001</t>
  </si>
  <si>
    <t>802111О.99.0.БА96АЧ08001</t>
  </si>
  <si>
    <t>802111О.99.0.БА96АЧ33001</t>
  </si>
  <si>
    <t>802111О.99.0.БА96АШ58001</t>
  </si>
  <si>
    <t>802111О.99.0.БА96АШ83001</t>
  </si>
  <si>
    <t>802111О.99.0.БА96АЭ08001</t>
  </si>
  <si>
    <t>802111О.99.0.БА96АЭ33001</t>
  </si>
  <si>
    <t>802111О.99.0.БА96АЮ58001</t>
  </si>
  <si>
    <t>802111О.99.0.БА96АЮ59001</t>
  </si>
  <si>
    <t>802111О.99.0.БА96АЮ83001</t>
  </si>
  <si>
    <t>802111О.99.0.БА96АЮ84001</t>
  </si>
  <si>
    <t>802112О.99.0.ББ11АА00001</t>
  </si>
  <si>
    <t>802112О.99.0.ББ11АЛ26001</t>
  </si>
  <si>
    <t>802112О.99.0.ББ11АМ76001</t>
  </si>
  <si>
    <t>802112О.99.0.ББ11АО26001</t>
  </si>
  <si>
    <t>802112О.99.0.ББ11АП76001</t>
  </si>
  <si>
    <t>802112О.99.0.ББ11АЧ08001</t>
  </si>
  <si>
    <t>802112О.99.0.ББ11АЮ58001</t>
  </si>
  <si>
    <t>802112О.99.0.ББ11АЮ59001</t>
  </si>
  <si>
    <t>802112О.99.0.ББ11АЮ83001</t>
  </si>
  <si>
    <t>804200О.99.0.ББ52АЖ48000</t>
  </si>
  <si>
    <t>888913О.99.0.АЭ33АА00001</t>
  </si>
  <si>
    <t>920700О.99.0.АЗ22АА00001</t>
  </si>
  <si>
    <t>Организация досуга детей, подростков и молодежи</t>
  </si>
  <si>
    <t>Организация мероприятий в сфере молодежной политики, направленных на формирование системы развития талантливой и инициативной молодежи, создание условий для самореализации подростков и молодежи, развитие творческого, профессионального, интеллектуального потенциалов подростков и молодежи</t>
  </si>
  <si>
    <t>Организация мероприятий в сфере молодежной политики, направленных на гражданское и патриотическое воспитание молодежи, воспитание толерантности в молодежной среде, формирование правовых, культурных и нравственных ценностей среди молодежи</t>
  </si>
  <si>
    <t>единица</t>
  </si>
  <si>
    <t>900400.Р.83.1.05730001000</t>
  </si>
  <si>
    <t>Организация деятельности клубных формирований и формирований самодеятельного народного творчества</t>
  </si>
  <si>
    <t>900410.Р.83.1.04910007000</t>
  </si>
  <si>
    <t>Создание концертов и концертных программ</t>
  </si>
  <si>
    <t>932919.P.83.1.05390001000</t>
  </si>
  <si>
    <t>932920.P.83.1.05390001000</t>
  </si>
  <si>
    <t>932919.P.83.1.06150001000</t>
  </si>
  <si>
    <t>932920.P.83.1.05040001000</t>
  </si>
  <si>
    <t>920700О.99.0.А322АА01001</t>
  </si>
  <si>
    <t xml:space="preserve">В связи с увеличением детей,  в целях привлечения активного отдыха, досуга, занятости, охраны и укрепления здоровья детей, подростков, а также усиления мер профилактики правонарушений среди несовершеннолетних в 2019 году </t>
  </si>
  <si>
    <t>Увеличение детей, в целях привлечения активного отдыха, досуга, занятости, охраны и укрепления здоровья детей, подростков, а также усиления мер профилактики правонарушений среди несовершеннолетних в 2019 году</t>
  </si>
  <si>
    <t>Приложение</t>
  </si>
  <si>
    <t>к пояснительной записки</t>
  </si>
  <si>
    <t>Муниципальные услуги (работы)</t>
  </si>
  <si>
    <t>Превышает на 1 ребенка  раннего  возраста. Так как  ребенок относится к льготной  категории (опекаемый), то  имеет право вне  очереди по выбору опекуна быть зачисленным в любое дошкольное учреждение.</t>
  </si>
  <si>
    <t>Учреждением организовано временных дополнительных 6 рабочих мест за счет экономии по заработной плате ( в связи с оплатой больничных листов)</t>
  </si>
  <si>
    <t xml:space="preserve"> В течении 2019  года дети были отчислены в связи с переездом  в другое место жительство.Зачислить новых детей не представляется возможным, так как отсутствует социальный заказ на предоставление услуги дошкольного образования для детей  данного возраста.</t>
  </si>
  <si>
    <t>Зачислить воспитанников не представляется возможным, так как отсутствует социальный заказ на предоставление услуги дошкольного образования для детей  данного возраста.</t>
  </si>
  <si>
    <t>Уменьшение количественных показателей в связи с переездом  обучающегося в другое место жительство.</t>
  </si>
  <si>
    <t>По итогам контрольно-переводных испытаний в конце 2018-2019 учебного года 5 обучающихся из групп начальной подготовки успешно выполнили  контрольно-переводные испытания, выполнили спортивный разряд по данным видам спорта, и были зачислены на тренировочный этап обучения. На этап начальной подготовки в сентябре 2019 года был осуществлен набор обучающихся.</t>
  </si>
  <si>
    <t>Наименование РзПр</t>
  </si>
  <si>
    <t>Уникальный номер реестровой записи</t>
  </si>
  <si>
    <t>Увеличение количественного показателя в связи с востребованностью проведения фестиваля "Иван Купала",культурно-массового мероприятия "В гостях у Йахли Ики".</t>
  </si>
  <si>
    <t xml:space="preserve">Увеличение количественного показателя в связи с значительным количеством внеплановых мероприятий согласно приказов департамента культуры ХМАО-Югры и отдела культуры администрации города Мегиона (мероприятия  к дню Округа, 100-летие Д.Гранина, к новогодним праздникам) </t>
  </si>
  <si>
    <t xml:space="preserve">Увеличение количественного показателя в связи с с проведением, 04.10.2019,  Праздничного концерта "Птица счастья",  камерного оркестра русских народных инструментов «Былина» Сургутской государственной филармонии, посвященный Дню учителя. </t>
  </si>
  <si>
    <t>Увеличен количественный показатель в связи с тем, что в июне — августе 2019 года увеличилось число зрителей на бесплатных кинопоказах в рамках окружной акции «Летние каникулы». Возрос интерес юных жителей города к фестивальным рейтинговым фильмам.</t>
  </si>
  <si>
    <t>Увеличен количественный показатель в связи с востребованностью и проведения фестиваля "Иван Купала", культурно-массового мероприятия "В гостях у Йахли Ики".</t>
  </si>
  <si>
    <t>Увеличение количественного показателя в связи с принятием на хранение неделимой коллекции нумизматики и  документов.</t>
  </si>
  <si>
    <t>К увеличению количественного показателя привело то, что в 2019 году из числа клубных формирований прекратил свою работу шахматно-шашечный клуб "Шах и мат" в количестве 15 человек. Но в тоже время образовался новый коллектив любительское объединение "Волонтеры культуры" в количестве 30 человек.</t>
  </si>
  <si>
    <t>Уменьшение количественного показателя связано с отменой Молодежного концерта, посвященного Дню города, запланированного на уличной площадке, в связи с неблагоприятиными погодными условиями.</t>
  </si>
  <si>
    <t>Уменьшение количественного показателя связано с отменой  конкурса колясок "Бэби-авто" в связи с неблагоприятными погодными условиями .</t>
  </si>
  <si>
    <t>Увеличение количественного показателя в связи с проведенной  в ДК "Сибирь" выставкой работ прикладного творчества "Пасхальная", не включенная в план работы.</t>
  </si>
  <si>
    <t>Увеличение количественного показателя в связи с проведением организационного комитета по подготовке и проведению на территории городского округа Мегион мероприятий посвященных празднованию 1 мая, не включенного в план.</t>
  </si>
  <si>
    <t>Уменьшение количественного показателя в связи с объединением празднования Дня России и Дня образования города Мегиона. Часть мероприятий на уличных площадках города была отменена в связи с неблагоприятными погодными условиями: Торжественное открытие праздника, посвященного Дню города, Развлекательная программа для детей, "Мегионский Арбат".</t>
  </si>
  <si>
    <t>Уменьшение количественного показателя в связи с объединением празднования дня России и Дня города, массовые народные гуляния были отменены в связи с неблагоприятными погодными условиями.</t>
  </si>
  <si>
    <t>Увеличение количественного показателя в  связи с проведением  акции "Книга в дар", для приведения обеспеченности населения книгами в соотвествии с нормативами общероссийских стандартов увеличилась обработка документов и создание каталогов.</t>
  </si>
  <si>
    <t>сумма, руб. *</t>
  </si>
  <si>
    <t>* Фактические объемы субсидий, соответствуют плану ФХД муниципальных учреждений</t>
  </si>
  <si>
    <t>СВЕДЕНИЯ
о выполнении муниципальными учреждениями муниципальных заданий на оказание муниципальных услуг (выполнение работ), а также об объемах субсидий на финансовое обеспечение выполнения муниципальных заданий за 2019 год</t>
  </si>
  <si>
    <t>объемы  муниципальных услуг (работ)</t>
  </si>
  <si>
    <t>Уточненные значения показателей</t>
  </si>
  <si>
    <t>Первоначально утвержденные значения показателей</t>
  </si>
  <si>
    <t>Фактические значения показателей</t>
  </si>
  <si>
    <t>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</si>
</sst>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-* #,##0.00_-;\-* #,##0.00_-;_-* &quot;-&quot;??_-;_-@_-"/>
    <numFmt numFmtId="164" formatCode="#,##0;\ \-\ #,##0;\ \-"/>
    <numFmt numFmtId="165" formatCode="#,##0.00;\ \-\ #,##0.00;\ \-"/>
    <numFmt numFmtId="166" formatCode="#,##0.0000;\ \-\ #,##0.0000;\ \-"/>
    <numFmt numFmtId="167" formatCode="#,##0.00_ ;\-#,##0.00\ "/>
    <numFmt numFmtId="168" formatCode="_-* #,##0.00\ _₽_-;\-* #,##0.00\ _₽_-;_-* &quot;-&quot;??\ _₽_-;_-@_-"/>
    <numFmt numFmtId="169" formatCode="#,##0.0;\ \-\ #,##0.0;\ \-"/>
    <numFmt numFmtId="170" formatCode="#,##0.0_ ;\-#,##0.0\ "/>
    <numFmt numFmtId="171" formatCode="#,##0_ ;\-#,##0\ 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10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8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i/>
      <sz val="8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lightGray"/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289">
    <xf numFmtId="0" fontId="0" fillId="0" borderId="0" xfId="0"/>
    <xf numFmtId="0" fontId="3" fillId="0" borderId="1" xfId="0" applyFont="1" applyFill="1" applyBorder="1" applyAlignment="1">
      <alignment wrapText="1"/>
    </xf>
    <xf numFmtId="0" fontId="5" fillId="0" borderId="1" xfId="0" applyFont="1" applyBorder="1" applyAlignment="1">
      <alignment horizontal="left" vertical="center" wrapText="1"/>
    </xf>
    <xf numFmtId="0" fontId="4" fillId="3" borderId="19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wrapText="1"/>
    </xf>
    <xf numFmtId="0" fontId="5" fillId="0" borderId="5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4" fillId="4" borderId="19" xfId="0" applyFont="1" applyFill="1" applyBorder="1" applyAlignment="1">
      <alignment horizontal="center" vertical="center"/>
    </xf>
    <xf numFmtId="0" fontId="4" fillId="4" borderId="20" xfId="0" applyFont="1" applyFill="1" applyBorder="1" applyAlignment="1">
      <alignment wrapText="1"/>
    </xf>
    <xf numFmtId="0" fontId="5" fillId="0" borderId="5" xfId="0" applyFont="1" applyFill="1" applyBorder="1" applyAlignment="1" applyProtection="1">
      <alignment horizontal="left" vertical="center" wrapText="1"/>
    </xf>
    <xf numFmtId="0" fontId="3" fillId="5" borderId="5" xfId="0" applyFont="1" applyFill="1" applyBorder="1" applyAlignment="1" applyProtection="1">
      <alignment horizontal="left" vertical="center" wrapText="1"/>
    </xf>
    <xf numFmtId="0" fontId="5" fillId="6" borderId="15" xfId="0" applyFont="1" applyFill="1" applyBorder="1" applyAlignment="1">
      <alignment horizontal="center" vertical="center"/>
    </xf>
    <xf numFmtId="0" fontId="5" fillId="6" borderId="15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/>
    </xf>
    <xf numFmtId="0" fontId="10" fillId="0" borderId="5" xfId="0" applyFont="1" applyFill="1" applyBorder="1" applyAlignment="1" applyProtection="1">
      <alignment horizontal="left" vertical="center" wrapText="1"/>
    </xf>
    <xf numFmtId="0" fontId="10" fillId="0" borderId="6" xfId="0" applyNumberFormat="1" applyFont="1" applyFill="1" applyBorder="1" applyAlignment="1" applyProtection="1">
      <alignment horizontal="left" vertical="center" wrapText="1"/>
      <protection locked="0"/>
    </xf>
    <xf numFmtId="49" fontId="3" fillId="6" borderId="1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/>
    <xf numFmtId="0" fontId="7" fillId="0" borderId="0" xfId="0" applyFont="1" applyAlignment="1">
      <alignment vertical="center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/>
    <xf numFmtId="0" fontId="7" fillId="0" borderId="0" xfId="0" applyFont="1"/>
    <xf numFmtId="49" fontId="12" fillId="0" borderId="1" xfId="0" applyNumberFormat="1" applyFont="1" applyBorder="1" applyAlignment="1">
      <alignment horizontal="center" vertical="center" wrapText="1"/>
    </xf>
    <xf numFmtId="167" fontId="8" fillId="0" borderId="0" xfId="0" applyNumberFormat="1" applyFont="1"/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wrapText="1"/>
    </xf>
    <xf numFmtId="0" fontId="10" fillId="0" borderId="7" xfId="0" applyNumberFormat="1" applyFont="1" applyFill="1" applyBorder="1" applyAlignment="1" applyProtection="1">
      <alignment horizontal="left" wrapText="1"/>
      <protection locked="0"/>
    </xf>
    <xf numFmtId="4" fontId="3" fillId="0" borderId="7" xfId="0" applyNumberFormat="1" applyFont="1" applyFill="1" applyBorder="1" applyAlignment="1">
      <alignment horizontal="center" vertical="center"/>
    </xf>
    <xf numFmtId="4" fontId="3" fillId="0" borderId="7" xfId="0" applyNumberFormat="1" applyFont="1" applyBorder="1" applyAlignment="1">
      <alignment horizontal="center" vertical="center"/>
    </xf>
    <xf numFmtId="0" fontId="3" fillId="5" borderId="6" xfId="0" applyNumberFormat="1" applyFont="1" applyFill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>
      <alignment horizontal="center" vertical="center" textRotation="90" wrapText="1"/>
    </xf>
    <xf numFmtId="0" fontId="7" fillId="0" borderId="0" xfId="0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right"/>
    </xf>
    <xf numFmtId="49" fontId="6" fillId="0" borderId="0" xfId="0" applyNumberFormat="1" applyFont="1" applyBorder="1"/>
    <xf numFmtId="0" fontId="8" fillId="0" borderId="0" xfId="0" applyFont="1" applyBorder="1"/>
    <xf numFmtId="0" fontId="8" fillId="0" borderId="0" xfId="0" applyFont="1" applyFill="1" applyBorder="1"/>
    <xf numFmtId="49" fontId="14" fillId="2" borderId="0" xfId="2" applyNumberFormat="1" applyFont="1" applyFill="1" applyBorder="1" applyAlignment="1" applyProtection="1">
      <alignment horizontal="right" indent="1"/>
    </xf>
    <xf numFmtId="0" fontId="8" fillId="2" borderId="0" xfId="0" applyFont="1" applyFill="1" applyBorder="1"/>
    <xf numFmtId="166" fontId="6" fillId="0" borderId="0" xfId="0" applyNumberFormat="1" applyFont="1" applyBorder="1"/>
    <xf numFmtId="43" fontId="15" fillId="0" borderId="0" xfId="1" applyFont="1" applyBorder="1"/>
    <xf numFmtId="168" fontId="8" fillId="0" borderId="0" xfId="0" applyNumberFormat="1" applyFont="1" applyBorder="1"/>
    <xf numFmtId="0" fontId="9" fillId="0" borderId="0" xfId="0" applyFont="1" applyFill="1"/>
    <xf numFmtId="0" fontId="17" fillId="0" borderId="0" xfId="0" applyFont="1" applyFill="1" applyAlignment="1"/>
    <xf numFmtId="0" fontId="3" fillId="0" borderId="0" xfId="0" applyFont="1" applyFill="1"/>
    <xf numFmtId="0" fontId="18" fillId="0" borderId="0" xfId="0" applyFont="1"/>
    <xf numFmtId="0" fontId="3" fillId="0" borderId="0" xfId="0" applyFont="1"/>
    <xf numFmtId="164" fontId="3" fillId="0" borderId="13" xfId="0" applyNumberFormat="1" applyFont="1" applyFill="1" applyBorder="1" applyAlignment="1">
      <alignment horizontal="center" vertical="center"/>
    </xf>
    <xf numFmtId="0" fontId="3" fillId="0" borderId="7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7" xfId="0" applyNumberFormat="1" applyFont="1" applyFill="1" applyBorder="1" applyAlignment="1" applyProtection="1">
      <alignment horizontal="left" vertical="center" wrapText="1"/>
      <protection locked="0"/>
    </xf>
    <xf numFmtId="0" fontId="3" fillId="0" borderId="5" xfId="0" applyFont="1" applyFill="1" applyBorder="1" applyAlignment="1" applyProtection="1">
      <alignment horizontal="left" wrapText="1"/>
    </xf>
    <xf numFmtId="49" fontId="6" fillId="7" borderId="0" xfId="0" applyNumberFormat="1" applyFont="1" applyFill="1"/>
    <xf numFmtId="0" fontId="3" fillId="0" borderId="1" xfId="0" applyFont="1" applyFill="1" applyBorder="1" applyAlignment="1" applyProtection="1">
      <alignment horizontal="left" wrapText="1"/>
    </xf>
    <xf numFmtId="0" fontId="3" fillId="0" borderId="12" xfId="0" applyFont="1" applyFill="1" applyBorder="1" applyAlignment="1" applyProtection="1">
      <alignment horizontal="left" wrapText="1"/>
    </xf>
    <xf numFmtId="49" fontId="10" fillId="0" borderId="12" xfId="0" applyNumberFormat="1" applyFont="1" applyFill="1" applyBorder="1" applyAlignment="1" applyProtection="1">
      <alignment horizontal="center" vertical="center"/>
      <protection locked="0"/>
    </xf>
    <xf numFmtId="49" fontId="5" fillId="0" borderId="12" xfId="0" applyNumberFormat="1" applyFont="1" applyFill="1" applyBorder="1" applyAlignment="1" applyProtection="1">
      <alignment horizontal="center" vertical="center"/>
      <protection locked="0"/>
    </xf>
    <xf numFmtId="49" fontId="3" fillId="0" borderId="12" xfId="0" applyNumberFormat="1" applyFont="1" applyFill="1" applyBorder="1" applyAlignment="1" applyProtection="1">
      <alignment horizontal="center" vertical="center"/>
      <protection locked="0"/>
    </xf>
    <xf numFmtId="49" fontId="3" fillId="5" borderId="4" xfId="0" applyNumberFormat="1" applyFont="1" applyFill="1" applyBorder="1" applyAlignment="1" applyProtection="1">
      <alignment horizontal="center" vertical="center"/>
      <protection locked="0"/>
    </xf>
    <xf numFmtId="49" fontId="3" fillId="0" borderId="4" xfId="0" applyNumberFormat="1" applyFont="1" applyFill="1" applyBorder="1" applyAlignment="1" applyProtection="1">
      <alignment horizontal="center" vertical="center"/>
      <protection locked="0"/>
    </xf>
    <xf numFmtId="0" fontId="5" fillId="0" borderId="12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9" fontId="3" fillId="0" borderId="4" xfId="0" applyNumberFormat="1" applyFont="1" applyFill="1" applyBorder="1" applyAlignment="1" applyProtection="1">
      <alignment horizontal="left" vertical="center"/>
      <protection locked="0"/>
    </xf>
    <xf numFmtId="49" fontId="5" fillId="0" borderId="22" xfId="0" applyNumberFormat="1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/>
    </xf>
    <xf numFmtId="0" fontId="19" fillId="0" borderId="5" xfId="0" applyFont="1" applyFill="1" applyBorder="1" applyAlignment="1" applyProtection="1">
      <alignment horizontal="left" wrapText="1"/>
    </xf>
    <xf numFmtId="49" fontId="19" fillId="0" borderId="4" xfId="0" applyNumberFormat="1" applyFont="1" applyFill="1" applyBorder="1" applyAlignment="1" applyProtection="1">
      <alignment horizontal="center" vertical="center"/>
      <protection locked="0"/>
    </xf>
    <xf numFmtId="49" fontId="6" fillId="0" borderId="0" xfId="0" applyNumberFormat="1" applyFont="1" applyFill="1"/>
    <xf numFmtId="0" fontId="5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/>
    <xf numFmtId="0" fontId="5" fillId="0" borderId="1" xfId="0" applyFont="1" applyFill="1" applyBorder="1"/>
    <xf numFmtId="0" fontId="11" fillId="0" borderId="1" xfId="0" applyFont="1" applyFill="1" applyBorder="1"/>
    <xf numFmtId="0" fontId="3" fillId="6" borderId="1" xfId="0" applyFont="1" applyFill="1" applyBorder="1" applyAlignment="1">
      <alignment horizontal="center" vertical="center"/>
    </xf>
    <xf numFmtId="0" fontId="3" fillId="0" borderId="6" xfId="0" applyNumberFormat="1" applyFont="1" applyFill="1" applyBorder="1" applyAlignment="1" applyProtection="1">
      <alignment horizontal="left" wrapText="1"/>
      <protection locked="0"/>
    </xf>
    <xf numFmtId="0" fontId="7" fillId="0" borderId="10" xfId="0" applyFont="1" applyBorder="1" applyAlignment="1">
      <alignment horizontal="center" vertical="center"/>
    </xf>
    <xf numFmtId="49" fontId="20" fillId="0" borderId="0" xfId="0" applyNumberFormat="1" applyFont="1" applyBorder="1" applyAlignment="1">
      <alignment horizontal="left" vertical="center"/>
    </xf>
    <xf numFmtId="0" fontId="20" fillId="0" borderId="0" xfId="0" applyFont="1"/>
    <xf numFmtId="0" fontId="12" fillId="0" borderId="1" xfId="0" applyFont="1" applyBorder="1" applyAlignment="1">
      <alignment horizontal="center" vertical="center"/>
    </xf>
    <xf numFmtId="164" fontId="21" fillId="0" borderId="0" xfId="0" applyNumberFormat="1" applyFont="1" applyFill="1" applyBorder="1" applyAlignment="1" applyProtection="1">
      <alignment horizontal="right"/>
      <protection locked="0"/>
    </xf>
    <xf numFmtId="165" fontId="21" fillId="0" borderId="0" xfId="0" applyNumberFormat="1" applyFont="1" applyFill="1" applyBorder="1" applyAlignment="1" applyProtection="1">
      <alignment horizontal="right"/>
      <protection locked="0"/>
    </xf>
    <xf numFmtId="0" fontId="4" fillId="4" borderId="25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/>
    </xf>
    <xf numFmtId="49" fontId="3" fillId="0" borderId="26" xfId="0" applyNumberFormat="1" applyFont="1" applyFill="1" applyBorder="1" applyAlignment="1" applyProtection="1">
      <alignment horizontal="center" wrapText="1"/>
      <protection locked="0"/>
    </xf>
    <xf numFmtId="49" fontId="3" fillId="0" borderId="27" xfId="0" applyNumberFormat="1" applyFont="1" applyFill="1" applyBorder="1" applyAlignment="1" applyProtection="1">
      <alignment horizontal="center" wrapText="1"/>
      <protection locked="0"/>
    </xf>
    <xf numFmtId="49" fontId="10" fillId="0" borderId="27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26" xfId="0" applyNumberFormat="1" applyFont="1" applyFill="1" applyBorder="1" applyAlignment="1" applyProtection="1">
      <alignment horizontal="center" wrapText="1"/>
      <protection locked="0"/>
    </xf>
    <xf numFmtId="49" fontId="10" fillId="0" borderId="27" xfId="0" applyNumberFormat="1" applyFont="1" applyFill="1" applyBorder="1" applyAlignment="1" applyProtection="1">
      <alignment horizontal="center" wrapText="1"/>
      <protection locked="0"/>
    </xf>
    <xf numFmtId="49" fontId="10" fillId="0" borderId="26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7" xfId="0" applyFont="1" applyFill="1" applyBorder="1" applyAlignment="1">
      <alignment horizontal="center" vertical="center"/>
    </xf>
    <xf numFmtId="49" fontId="5" fillId="0" borderId="26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27" xfId="0" applyFont="1" applyBorder="1" applyAlignment="1">
      <alignment horizontal="center" vertical="center"/>
    </xf>
    <xf numFmtId="49" fontId="3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26" xfId="0" applyFont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49" fontId="3" fillId="0" borderId="26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28" xfId="0" applyFont="1" applyFill="1" applyBorder="1" applyAlignment="1">
      <alignment horizontal="center" vertical="center"/>
    </xf>
    <xf numFmtId="4" fontId="4" fillId="4" borderId="29" xfId="0" applyNumberFormat="1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4" fontId="3" fillId="3" borderId="29" xfId="0" applyNumberFormat="1" applyFont="1" applyFill="1" applyBorder="1" applyAlignment="1">
      <alignment horizontal="center" vertical="center"/>
    </xf>
    <xf numFmtId="170" fontId="3" fillId="0" borderId="4" xfId="0" applyNumberFormat="1" applyFont="1" applyFill="1" applyBorder="1" applyAlignment="1">
      <alignment horizontal="center" vertical="center"/>
    </xf>
    <xf numFmtId="4" fontId="3" fillId="0" borderId="6" xfId="0" applyNumberFormat="1" applyFont="1" applyFill="1" applyBorder="1" applyAlignment="1">
      <alignment horizontal="center" vertical="center"/>
    </xf>
    <xf numFmtId="164" fontId="3" fillId="0" borderId="22" xfId="0" applyNumberFormat="1" applyFont="1" applyFill="1" applyBorder="1" applyAlignment="1">
      <alignment horizontal="center" vertical="center"/>
    </xf>
    <xf numFmtId="164" fontId="19" fillId="0" borderId="4" xfId="0" applyNumberFormat="1" applyFont="1" applyFill="1" applyBorder="1" applyAlignment="1" applyProtection="1">
      <alignment horizontal="center" vertical="center"/>
      <protection locked="0"/>
    </xf>
    <xf numFmtId="4" fontId="19" fillId="0" borderId="6" xfId="0" applyNumberFormat="1" applyFont="1" applyFill="1" applyBorder="1" applyAlignment="1" applyProtection="1">
      <alignment horizontal="center" vertical="center"/>
      <protection locked="0"/>
    </xf>
    <xf numFmtId="164" fontId="10" fillId="0" borderId="4" xfId="0" applyNumberFormat="1" applyFont="1" applyFill="1" applyBorder="1" applyAlignment="1" applyProtection="1">
      <alignment horizontal="center"/>
      <protection locked="0"/>
    </xf>
    <xf numFmtId="165" fontId="21" fillId="0" borderId="6" xfId="0" applyNumberFormat="1" applyFont="1" applyFill="1" applyBorder="1" applyAlignment="1" applyProtection="1">
      <alignment horizontal="right"/>
      <protection locked="0"/>
    </xf>
    <xf numFmtId="4" fontId="10" fillId="0" borderId="6" xfId="0" applyNumberFormat="1" applyFont="1" applyFill="1" applyBorder="1" applyAlignment="1" applyProtection="1">
      <alignment horizontal="center"/>
      <protection locked="0"/>
    </xf>
    <xf numFmtId="164" fontId="10" fillId="0" borderId="4" xfId="0" applyNumberFormat="1" applyFont="1" applyFill="1" applyBorder="1" applyAlignment="1" applyProtection="1">
      <alignment horizontal="center" vertical="center"/>
      <protection locked="0"/>
    </xf>
    <xf numFmtId="4" fontId="10" fillId="0" borderId="6" xfId="0" applyNumberFormat="1" applyFont="1" applyFill="1" applyBorder="1" applyAlignment="1" applyProtection="1">
      <alignment horizontal="center" vertical="center"/>
      <protection locked="0"/>
    </xf>
    <xf numFmtId="169" fontId="10" fillId="0" borderId="4" xfId="0" applyNumberFormat="1" applyFont="1" applyFill="1" applyBorder="1" applyAlignment="1" applyProtection="1">
      <alignment horizontal="center" vertical="center"/>
      <protection locked="0"/>
    </xf>
    <xf numFmtId="4" fontId="3" fillId="0" borderId="22" xfId="0" applyNumberFormat="1" applyFont="1" applyFill="1" applyBorder="1" applyAlignment="1">
      <alignment horizontal="center" vertical="center"/>
    </xf>
    <xf numFmtId="165" fontId="5" fillId="0" borderId="4" xfId="0" applyNumberFormat="1" applyFont="1" applyFill="1" applyBorder="1" applyAlignment="1" applyProtection="1">
      <alignment horizontal="center" vertical="center"/>
      <protection locked="0"/>
    </xf>
    <xf numFmtId="4" fontId="5" fillId="0" borderId="6" xfId="0" applyNumberFormat="1" applyFont="1" applyFill="1" applyBorder="1" applyAlignment="1" applyProtection="1">
      <alignment horizontal="center" vertical="center"/>
      <protection locked="0"/>
    </xf>
    <xf numFmtId="169" fontId="5" fillId="0" borderId="4" xfId="0" applyNumberFormat="1" applyFont="1" applyFill="1" applyBorder="1" applyAlignment="1" applyProtection="1">
      <alignment horizontal="center" vertical="center"/>
      <protection locked="0"/>
    </xf>
    <xf numFmtId="164" fontId="3" fillId="0" borderId="4" xfId="0" applyNumberFormat="1" applyFont="1" applyFill="1" applyBorder="1" applyAlignment="1" applyProtection="1">
      <alignment horizontal="center"/>
      <protection locked="0"/>
    </xf>
    <xf numFmtId="4" fontId="3" fillId="0" borderId="6" xfId="0" applyNumberFormat="1" applyFont="1" applyFill="1" applyBorder="1" applyAlignment="1" applyProtection="1">
      <alignment horizontal="center"/>
      <protection locked="0"/>
    </xf>
    <xf numFmtId="171" fontId="3" fillId="6" borderId="4" xfId="0" applyNumberFormat="1" applyFont="1" applyFill="1" applyBorder="1" applyAlignment="1" applyProtection="1">
      <alignment horizontal="center"/>
      <protection locked="0"/>
    </xf>
    <xf numFmtId="4" fontId="3" fillId="6" borderId="6" xfId="0" applyNumberFormat="1" applyFont="1" applyFill="1" applyBorder="1" applyAlignment="1" applyProtection="1">
      <alignment horizontal="center"/>
      <protection locked="0"/>
    </xf>
    <xf numFmtId="164" fontId="3" fillId="0" borderId="4" xfId="0" applyNumberFormat="1" applyFont="1" applyFill="1" applyBorder="1" applyAlignment="1" applyProtection="1">
      <alignment horizontal="center" vertical="center"/>
      <protection locked="0"/>
    </xf>
    <xf numFmtId="4" fontId="3" fillId="0" borderId="6" xfId="0" applyNumberFormat="1" applyFont="1" applyFill="1" applyBorder="1" applyAlignment="1" applyProtection="1">
      <alignment horizontal="center" vertical="center"/>
      <protection locked="0"/>
    </xf>
    <xf numFmtId="166" fontId="3" fillId="0" borderId="4" xfId="0" applyNumberFormat="1" applyFont="1" applyFill="1" applyBorder="1" applyAlignment="1" applyProtection="1">
      <alignment horizontal="center"/>
      <protection locked="0"/>
    </xf>
    <xf numFmtId="4" fontId="19" fillId="0" borderId="6" xfId="0" applyNumberFormat="1" applyFont="1" applyFill="1" applyBorder="1" applyAlignment="1" applyProtection="1">
      <alignment horizontal="center"/>
      <protection locked="0"/>
    </xf>
    <xf numFmtId="166" fontId="10" fillId="0" borderId="4" xfId="0" applyNumberFormat="1" applyFont="1" applyFill="1" applyBorder="1" applyAlignment="1" applyProtection="1">
      <alignment horizontal="center" vertical="center"/>
      <protection locked="0"/>
    </xf>
    <xf numFmtId="166" fontId="10" fillId="0" borderId="4" xfId="0" applyNumberFormat="1" applyFont="1" applyFill="1" applyBorder="1" applyAlignment="1" applyProtection="1">
      <alignment horizontal="center"/>
      <protection locked="0"/>
    </xf>
    <xf numFmtId="4" fontId="4" fillId="3" borderId="29" xfId="0" applyNumberFormat="1" applyFont="1" applyFill="1" applyBorder="1" applyAlignment="1">
      <alignment horizontal="center" vertical="center"/>
    </xf>
    <xf numFmtId="164" fontId="3" fillId="5" borderId="4" xfId="0" applyNumberFormat="1" applyFont="1" applyFill="1" applyBorder="1" applyAlignment="1" applyProtection="1">
      <alignment horizontal="center" vertical="center"/>
      <protection locked="0"/>
    </xf>
    <xf numFmtId="4" fontId="3" fillId="5" borderId="6" xfId="0" applyNumberFormat="1" applyFont="1" applyFill="1" applyBorder="1" applyAlignment="1" applyProtection="1">
      <alignment horizontal="center" vertical="center"/>
      <protection locked="0"/>
    </xf>
    <xf numFmtId="164" fontId="3" fillId="6" borderId="4" xfId="0" applyNumberFormat="1" applyFont="1" applyFill="1" applyBorder="1" applyAlignment="1" applyProtection="1">
      <alignment horizontal="center"/>
      <protection locked="0"/>
    </xf>
    <xf numFmtId="3" fontId="5" fillId="0" borderId="4" xfId="0" applyNumberFormat="1" applyFont="1" applyBorder="1" applyAlignment="1">
      <alignment horizontal="center" vertical="center" wrapText="1"/>
    </xf>
    <xf numFmtId="4" fontId="5" fillId="0" borderId="6" xfId="0" applyNumberFormat="1" applyFont="1" applyBorder="1" applyAlignment="1">
      <alignment horizontal="center" vertical="center" wrapText="1"/>
    </xf>
    <xf numFmtId="3" fontId="5" fillId="0" borderId="22" xfId="0" applyNumberFormat="1" applyFont="1" applyBorder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center" wrapText="1"/>
    </xf>
    <xf numFmtId="3" fontId="5" fillId="0" borderId="30" xfId="0" applyNumberFormat="1" applyFont="1" applyBorder="1" applyAlignment="1">
      <alignment horizontal="center" vertical="center" wrapText="1"/>
    </xf>
    <xf numFmtId="4" fontId="5" fillId="0" borderId="8" xfId="0" applyNumberFormat="1" applyFont="1" applyBorder="1" applyAlignment="1">
      <alignment horizontal="center" vertical="center" wrapText="1"/>
    </xf>
    <xf numFmtId="0" fontId="4" fillId="4" borderId="28" xfId="0" applyFont="1" applyFill="1" applyBorder="1" applyAlignment="1">
      <alignment horizontal="center" vertical="center"/>
    </xf>
    <xf numFmtId="0" fontId="3" fillId="3" borderId="28" xfId="0" applyFont="1" applyFill="1" applyBorder="1" applyAlignment="1">
      <alignment horizontal="center" vertical="center"/>
    </xf>
    <xf numFmtId="3" fontId="3" fillId="0" borderId="12" xfId="0" applyNumberFormat="1" applyFont="1" applyFill="1" applyBorder="1" applyAlignment="1" applyProtection="1">
      <alignment horizontal="center" vertical="center"/>
    </xf>
    <xf numFmtId="3" fontId="3" fillId="0" borderId="15" xfId="0" applyNumberFormat="1" applyFont="1" applyFill="1" applyBorder="1" applyAlignment="1" applyProtection="1">
      <alignment horizontal="center" vertical="center"/>
    </xf>
    <xf numFmtId="3" fontId="10" fillId="0" borderId="12" xfId="0" applyNumberFormat="1" applyFont="1" applyFill="1" applyBorder="1" applyAlignment="1" applyProtection="1">
      <alignment horizontal="center" vertical="center"/>
    </xf>
    <xf numFmtId="3" fontId="10" fillId="0" borderId="15" xfId="0" applyNumberFormat="1" applyFont="1" applyFill="1" applyBorder="1" applyAlignment="1" applyProtection="1">
      <alignment horizontal="center" vertical="center"/>
    </xf>
    <xf numFmtId="3" fontId="3" fillId="5" borderId="12" xfId="0" applyNumberFormat="1" applyFont="1" applyFill="1" applyBorder="1" applyAlignment="1" applyProtection="1">
      <alignment horizontal="center" vertical="center"/>
    </xf>
    <xf numFmtId="166" fontId="3" fillId="0" borderId="12" xfId="0" applyNumberFormat="1" applyFont="1" applyFill="1" applyBorder="1" applyAlignment="1" applyProtection="1">
      <alignment horizontal="right"/>
    </xf>
    <xf numFmtId="3" fontId="3" fillId="0" borderId="31" xfId="0" applyNumberFormat="1" applyFont="1" applyFill="1" applyBorder="1" applyAlignment="1" applyProtection="1">
      <alignment horizontal="center" vertical="center"/>
    </xf>
    <xf numFmtId="4" fontId="4" fillId="4" borderId="19" xfId="0" applyNumberFormat="1" applyFont="1" applyFill="1" applyBorder="1" applyAlignment="1">
      <alignment horizontal="center" vertical="center"/>
    </xf>
    <xf numFmtId="4" fontId="3" fillId="3" borderId="19" xfId="0" applyNumberFormat="1" applyFont="1" applyFill="1" applyBorder="1" applyAlignment="1">
      <alignment horizontal="center" vertical="center"/>
    </xf>
    <xf numFmtId="4" fontId="3" fillId="6" borderId="4" xfId="0" applyNumberFormat="1" applyFont="1" applyFill="1" applyBorder="1" applyAlignment="1" applyProtection="1">
      <alignment horizontal="center"/>
      <protection locked="0"/>
    </xf>
    <xf numFmtId="4" fontId="19" fillId="0" borderId="4" xfId="0" applyNumberFormat="1" applyFont="1" applyFill="1" applyBorder="1" applyAlignment="1" applyProtection="1">
      <alignment horizontal="center"/>
      <protection locked="0"/>
    </xf>
    <xf numFmtId="4" fontId="4" fillId="3" borderId="29" xfId="1" applyNumberFormat="1" applyFont="1" applyFill="1" applyBorder="1" applyAlignment="1">
      <alignment horizontal="center" vertical="center"/>
    </xf>
    <xf numFmtId="4" fontId="7" fillId="0" borderId="6" xfId="0" applyNumberFormat="1" applyFont="1" applyFill="1" applyBorder="1" applyAlignment="1" applyProtection="1">
      <alignment horizontal="center" vertical="center"/>
      <protection locked="0"/>
    </xf>
    <xf numFmtId="0" fontId="12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vertical="center"/>
    </xf>
    <xf numFmtId="0" fontId="4" fillId="4" borderId="29" xfId="0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horizontal="center" vertical="center"/>
    </xf>
    <xf numFmtId="0" fontId="4" fillId="3" borderId="29" xfId="0" applyFont="1" applyFill="1" applyBorder="1" applyAlignment="1">
      <alignment horizontal="center" vertical="center"/>
    </xf>
    <xf numFmtId="0" fontId="3" fillId="0" borderId="6" xfId="0" applyNumberFormat="1" applyFont="1" applyFill="1" applyBorder="1" applyAlignment="1" applyProtection="1">
      <alignment horizontal="left" vertical="center" wrapText="1"/>
      <protection locked="0"/>
    </xf>
    <xf numFmtId="0" fontId="3" fillId="0" borderId="15" xfId="0" applyFont="1" applyFill="1" applyBorder="1" applyAlignment="1">
      <alignment horizontal="center" vertical="center"/>
    </xf>
    <xf numFmtId="0" fontId="3" fillId="0" borderId="5" xfId="0" applyFont="1" applyFill="1" applyBorder="1" applyAlignment="1" applyProtection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/>
    </xf>
    <xf numFmtId="3" fontId="5" fillId="0" borderId="0" xfId="0" applyNumberFormat="1" applyFont="1" applyBorder="1" applyAlignment="1">
      <alignment horizontal="center" vertical="center" wrapText="1"/>
    </xf>
    <xf numFmtId="4" fontId="5" fillId="0" borderId="0" xfId="0" applyNumberFormat="1" applyFont="1" applyBorder="1" applyAlignment="1">
      <alignment horizontal="center" vertical="center" wrapText="1"/>
    </xf>
    <xf numFmtId="3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Border="1" applyAlignment="1">
      <alignment horizontal="center" vertical="center"/>
    </xf>
    <xf numFmtId="49" fontId="0" fillId="0" borderId="0" xfId="0" applyNumberFormat="1" applyAlignment="1">
      <alignment horizontal="left" vertical="center" wrapText="1"/>
    </xf>
    <xf numFmtId="49" fontId="10" fillId="0" borderId="35" xfId="0" applyNumberFormat="1" applyFont="1" applyFill="1" applyBorder="1" applyAlignment="1" applyProtection="1">
      <alignment horizontal="center" vertical="center" wrapText="1"/>
      <protection locked="0"/>
    </xf>
    <xf numFmtId="170" fontId="3" fillId="0" borderId="12" xfId="0" applyNumberFormat="1" applyFont="1" applyFill="1" applyBorder="1" applyAlignment="1">
      <alignment horizontal="center" vertical="center"/>
    </xf>
    <xf numFmtId="164" fontId="3" fillId="0" borderId="15" xfId="0" applyNumberFormat="1" applyFont="1" applyFill="1" applyBorder="1" applyAlignment="1">
      <alignment horizontal="center" vertical="center"/>
    </xf>
    <xf numFmtId="164" fontId="19" fillId="0" borderId="12" xfId="0" applyNumberFormat="1" applyFont="1" applyFill="1" applyBorder="1" applyAlignment="1" applyProtection="1">
      <alignment horizontal="center" vertical="center"/>
      <protection locked="0"/>
    </xf>
    <xf numFmtId="164" fontId="10" fillId="0" borderId="12" xfId="0" applyNumberFormat="1" applyFont="1" applyFill="1" applyBorder="1" applyAlignment="1" applyProtection="1">
      <alignment horizontal="center"/>
      <protection locked="0"/>
    </xf>
    <xf numFmtId="164" fontId="10" fillId="0" borderId="12" xfId="0" applyNumberFormat="1" applyFont="1" applyFill="1" applyBorder="1" applyAlignment="1" applyProtection="1">
      <alignment horizontal="center" vertical="center"/>
      <protection locked="0"/>
    </xf>
    <xf numFmtId="169" fontId="10" fillId="0" borderId="12" xfId="0" applyNumberFormat="1" applyFont="1" applyFill="1" applyBorder="1" applyAlignment="1" applyProtection="1">
      <alignment horizontal="center" vertical="center"/>
      <protection locked="0"/>
    </xf>
    <xf numFmtId="4" fontId="3" fillId="0" borderId="15" xfId="0" applyNumberFormat="1" applyFont="1" applyFill="1" applyBorder="1" applyAlignment="1">
      <alignment horizontal="center" vertical="center"/>
    </xf>
    <xf numFmtId="165" fontId="5" fillId="0" borderId="12" xfId="0" applyNumberFormat="1" applyFont="1" applyFill="1" applyBorder="1" applyAlignment="1" applyProtection="1">
      <alignment horizontal="center" vertical="center"/>
      <protection locked="0"/>
    </xf>
    <xf numFmtId="169" fontId="5" fillId="0" borderId="12" xfId="0" applyNumberFormat="1" applyFont="1" applyFill="1" applyBorder="1" applyAlignment="1" applyProtection="1">
      <alignment horizontal="center" vertical="center"/>
      <protection locked="0"/>
    </xf>
    <xf numFmtId="164" fontId="3" fillId="0" borderId="12" xfId="0" applyNumberFormat="1" applyFont="1" applyFill="1" applyBorder="1" applyAlignment="1" applyProtection="1">
      <alignment horizontal="center"/>
      <protection locked="0"/>
    </xf>
    <xf numFmtId="171" fontId="3" fillId="6" borderId="12" xfId="0" applyNumberFormat="1" applyFont="1" applyFill="1" applyBorder="1" applyAlignment="1" applyProtection="1">
      <alignment horizontal="center"/>
      <protection locked="0"/>
    </xf>
    <xf numFmtId="164" fontId="3" fillId="0" borderId="12" xfId="0" applyNumberFormat="1" applyFont="1" applyFill="1" applyBorder="1" applyAlignment="1" applyProtection="1">
      <alignment horizontal="center" vertical="center"/>
      <protection locked="0"/>
    </xf>
    <xf numFmtId="166" fontId="3" fillId="6" borderId="12" xfId="0" applyNumberFormat="1" applyFont="1" applyFill="1" applyBorder="1" applyAlignment="1" applyProtection="1">
      <alignment horizontal="center"/>
      <protection locked="0"/>
    </xf>
    <xf numFmtId="0" fontId="5" fillId="0" borderId="1" xfId="0" applyFont="1" applyBorder="1" applyAlignment="1">
      <alignment horizontal="center" vertical="center"/>
    </xf>
    <xf numFmtId="49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3" fillId="6" borderId="12" xfId="0" applyNumberFormat="1" applyFont="1" applyFill="1" applyBorder="1" applyAlignment="1" applyProtection="1">
      <alignment horizontal="center"/>
      <protection locked="0"/>
    </xf>
    <xf numFmtId="3" fontId="5" fillId="0" borderId="12" xfId="0" applyNumberFormat="1" applyFont="1" applyBorder="1" applyAlignment="1">
      <alignment horizontal="center" vertical="center" wrapText="1"/>
    </xf>
    <xf numFmtId="3" fontId="5" fillId="0" borderId="15" xfId="0" applyNumberFormat="1" applyFont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center" vertical="center" wrapText="1"/>
    </xf>
    <xf numFmtId="168" fontId="7" fillId="0" borderId="0" xfId="0" applyNumberFormat="1" applyFont="1" applyAlignment="1">
      <alignment vertical="center"/>
    </xf>
    <xf numFmtId="2" fontId="8" fillId="0" borderId="0" xfId="0" applyNumberFormat="1" applyFont="1"/>
    <xf numFmtId="2" fontId="19" fillId="0" borderId="0" xfId="0" applyNumberFormat="1" applyFont="1" applyFill="1" applyBorder="1" applyAlignment="1" applyProtection="1">
      <alignment horizontal="center" vertical="center"/>
      <protection locked="0"/>
    </xf>
    <xf numFmtId="2" fontId="15" fillId="0" borderId="0" xfId="0" applyNumberFormat="1" applyFont="1"/>
    <xf numFmtId="2" fontId="21" fillId="0" borderId="0" xfId="0" applyNumberFormat="1" applyFont="1" applyFill="1" applyBorder="1" applyAlignment="1" applyProtection="1">
      <alignment horizontal="right"/>
      <protection locked="0"/>
    </xf>
    <xf numFmtId="2" fontId="8" fillId="0" borderId="0" xfId="0" applyNumberFormat="1" applyFont="1" applyBorder="1"/>
    <xf numFmtId="2" fontId="18" fillId="0" borderId="0" xfId="0" applyNumberFormat="1" applyFont="1"/>
    <xf numFmtId="2" fontId="3" fillId="0" borderId="0" xfId="0" applyNumberFormat="1" applyFont="1"/>
    <xf numFmtId="2" fontId="8" fillId="0" borderId="0" xfId="0" applyNumberFormat="1" applyFont="1" applyFill="1" applyBorder="1"/>
    <xf numFmtId="4" fontId="3" fillId="0" borderId="0" xfId="0" applyNumberFormat="1" applyFont="1" applyFill="1" applyBorder="1" applyAlignment="1" applyProtection="1">
      <alignment horizontal="center" vertical="center"/>
      <protection locked="0"/>
    </xf>
    <xf numFmtId="4" fontId="8" fillId="0" borderId="0" xfId="0" applyNumberFormat="1" applyFont="1" applyAlignment="1">
      <alignment horizontal="center" vertical="center"/>
    </xf>
    <xf numFmtId="4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3" fillId="0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5" fillId="0" borderId="1" xfId="0" applyNumberFormat="1" applyFont="1" applyBorder="1" applyAlignment="1">
      <alignment horizontal="center" vertical="center"/>
    </xf>
    <xf numFmtId="0" fontId="4" fillId="3" borderId="37" xfId="0" applyFont="1" applyFill="1" applyBorder="1" applyAlignment="1">
      <alignment horizontal="center" vertical="center"/>
    </xf>
    <xf numFmtId="0" fontId="4" fillId="3" borderId="36" xfId="0" applyFont="1" applyFill="1" applyBorder="1" applyAlignment="1">
      <alignment horizontal="center" vertical="center"/>
    </xf>
    <xf numFmtId="4" fontId="4" fillId="3" borderId="36" xfId="0" applyNumberFormat="1" applyFont="1" applyFill="1" applyBorder="1" applyAlignment="1">
      <alignment horizontal="center" vertical="center"/>
    </xf>
    <xf numFmtId="164" fontId="3" fillId="5" borderId="12" xfId="0" applyNumberFormat="1" applyFont="1" applyFill="1" applyBorder="1" applyAlignment="1" applyProtection="1">
      <alignment horizontal="center" vertical="center"/>
      <protection locked="0"/>
    </xf>
    <xf numFmtId="3" fontId="3" fillId="0" borderId="1" xfId="0" applyNumberFormat="1" applyFont="1" applyFill="1" applyBorder="1" applyAlignment="1" applyProtection="1">
      <alignment horizontal="center" vertical="center"/>
      <protection locked="0"/>
    </xf>
    <xf numFmtId="4" fontId="8" fillId="0" borderId="1" xfId="0" applyNumberFormat="1" applyFont="1" applyBorder="1" applyAlignment="1">
      <alignment horizontal="center" vertical="center"/>
    </xf>
    <xf numFmtId="0" fontId="5" fillId="6" borderId="10" xfId="0" applyFont="1" applyFill="1" applyBorder="1" applyAlignment="1">
      <alignment horizontal="center" vertical="center"/>
    </xf>
    <xf numFmtId="0" fontId="3" fillId="0" borderId="38" xfId="0" applyFont="1" applyFill="1" applyBorder="1" applyAlignment="1" applyProtection="1">
      <alignment horizontal="left" wrapText="1"/>
    </xf>
    <xf numFmtId="0" fontId="5" fillId="0" borderId="39" xfId="0" applyFont="1" applyBorder="1" applyAlignment="1">
      <alignment horizontal="center" vertical="center"/>
    </xf>
    <xf numFmtId="164" fontId="3" fillId="6" borderId="38" xfId="0" applyNumberFormat="1" applyFont="1" applyFill="1" applyBorder="1" applyAlignment="1" applyProtection="1">
      <alignment horizontal="center"/>
      <protection locked="0"/>
    </xf>
    <xf numFmtId="4" fontId="3" fillId="0" borderId="13" xfId="0" applyNumberFormat="1" applyFont="1" applyFill="1" applyBorder="1" applyAlignment="1" applyProtection="1">
      <alignment horizontal="center"/>
      <protection locked="0"/>
    </xf>
    <xf numFmtId="164" fontId="3" fillId="0" borderId="40" xfId="0" applyNumberFormat="1" applyFont="1" applyFill="1" applyBorder="1" applyAlignment="1" applyProtection="1">
      <alignment horizontal="center"/>
      <protection locked="0"/>
    </xf>
    <xf numFmtId="4" fontId="7" fillId="0" borderId="13" xfId="0" applyNumberFormat="1" applyFont="1" applyFill="1" applyBorder="1" applyAlignment="1" applyProtection="1">
      <alignment horizontal="center" vertical="center"/>
      <protection locked="0"/>
    </xf>
    <xf numFmtId="3" fontId="3" fillId="0" borderId="38" xfId="0" applyNumberFormat="1" applyFont="1" applyFill="1" applyBorder="1" applyAlignment="1" applyProtection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3" fontId="3" fillId="0" borderId="5" xfId="0" applyNumberFormat="1" applyFont="1" applyFill="1" applyBorder="1" applyAlignment="1" applyProtection="1">
      <alignment horizontal="center" vertical="center"/>
      <protection locked="0"/>
    </xf>
    <xf numFmtId="4" fontId="8" fillId="0" borderId="5" xfId="0" applyNumberFormat="1" applyFont="1" applyBorder="1" applyAlignment="1">
      <alignment horizontal="center" vertical="center"/>
    </xf>
    <xf numFmtId="4" fontId="4" fillId="3" borderId="21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3" fontId="3" fillId="0" borderId="3" xfId="0" applyNumberFormat="1" applyFont="1" applyFill="1" applyBorder="1" applyAlignment="1" applyProtection="1">
      <alignment horizontal="center" vertical="center"/>
      <protection locked="0"/>
    </xf>
    <xf numFmtId="4" fontId="8" fillId="0" borderId="3" xfId="0" applyNumberFormat="1" applyFont="1" applyBorder="1" applyAlignment="1">
      <alignment horizontal="center" vertical="center"/>
    </xf>
    <xf numFmtId="0" fontId="4" fillId="3" borderId="25" xfId="0" applyFont="1" applyFill="1" applyBorder="1" applyAlignment="1">
      <alignment wrapText="1"/>
    </xf>
    <xf numFmtId="49" fontId="3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20" xfId="0" applyFont="1" applyFill="1" applyBorder="1" applyAlignment="1">
      <alignment horizontal="center" vertical="center"/>
    </xf>
    <xf numFmtId="43" fontId="4" fillId="4" borderId="20" xfId="1" applyFont="1" applyFill="1" applyBorder="1" applyAlignment="1">
      <alignment horizontal="center" vertical="center"/>
    </xf>
    <xf numFmtId="4" fontId="16" fillId="3" borderId="29" xfId="0" applyNumberFormat="1" applyFont="1" applyFill="1" applyBorder="1" applyAlignment="1">
      <alignment horizontal="center" vertical="center"/>
    </xf>
    <xf numFmtId="49" fontId="3" fillId="0" borderId="40" xfId="0" applyNumberFormat="1" applyFont="1" applyFill="1" applyBorder="1" applyAlignment="1" applyProtection="1">
      <alignment horizontal="center" vertical="center"/>
      <protection locked="0"/>
    </xf>
    <xf numFmtId="0" fontId="3" fillId="0" borderId="41" xfId="0" applyFont="1" applyFill="1" applyBorder="1" applyAlignment="1" applyProtection="1">
      <alignment horizontal="left" vertical="center" wrapText="1"/>
    </xf>
    <xf numFmtId="3" fontId="3" fillId="0" borderId="10" xfId="0" applyNumberFormat="1" applyFont="1" applyFill="1" applyBorder="1" applyAlignment="1" applyProtection="1">
      <alignment horizontal="center" vertical="center"/>
      <protection locked="0"/>
    </xf>
    <xf numFmtId="4" fontId="8" fillId="0" borderId="10" xfId="0" applyNumberFormat="1" applyFont="1" applyBorder="1" applyAlignment="1">
      <alignment horizontal="center" vertical="center"/>
    </xf>
    <xf numFmtId="166" fontId="3" fillId="0" borderId="38" xfId="0" applyNumberFormat="1" applyFont="1" applyFill="1" applyBorder="1" applyAlignment="1" applyProtection="1">
      <alignment horizontal="center" vertical="center"/>
      <protection locked="0"/>
    </xf>
    <xf numFmtId="4" fontId="3" fillId="0" borderId="13" xfId="0" applyNumberFormat="1" applyFont="1" applyFill="1" applyBorder="1" applyAlignment="1" applyProtection="1">
      <alignment horizontal="center" vertical="center"/>
      <protection locked="0"/>
    </xf>
    <xf numFmtId="4" fontId="3" fillId="0" borderId="40" xfId="0" applyNumberFormat="1" applyFont="1" applyFill="1" applyBorder="1" applyAlignment="1" applyProtection="1">
      <alignment horizontal="center" vertical="center"/>
      <protection locked="0"/>
    </xf>
    <xf numFmtId="0" fontId="3" fillId="0" borderId="13" xfId="0" applyNumberFormat="1" applyFont="1" applyFill="1" applyBorder="1" applyAlignment="1" applyProtection="1">
      <alignment horizontal="left" vertical="center" wrapText="1"/>
      <protection locked="0"/>
    </xf>
    <xf numFmtId="49" fontId="3" fillId="5" borderId="5" xfId="0" applyNumberFormat="1" applyFont="1" applyFill="1" applyBorder="1" applyAlignment="1" applyProtection="1">
      <alignment horizontal="center" vertical="center" wrapText="1"/>
      <protection locked="0"/>
    </xf>
    <xf numFmtId="3" fontId="3" fillId="5" borderId="5" xfId="0" applyNumberFormat="1" applyFont="1" applyFill="1" applyBorder="1" applyAlignment="1" applyProtection="1">
      <alignment horizontal="center" vertical="center"/>
      <protection locked="0"/>
    </xf>
    <xf numFmtId="4" fontId="8" fillId="5" borderId="5" xfId="0" applyNumberFormat="1" applyFont="1" applyFill="1" applyBorder="1" applyAlignment="1">
      <alignment horizontal="center" vertical="center"/>
    </xf>
    <xf numFmtId="0" fontId="3" fillId="0" borderId="23" xfId="0" applyNumberFormat="1" applyFont="1" applyFill="1" applyBorder="1" applyAlignment="1" applyProtection="1">
      <alignment horizontal="center" wrapText="1"/>
      <protection locked="0"/>
    </xf>
    <xf numFmtId="0" fontId="3" fillId="0" borderId="6" xfId="0" applyNumberFormat="1" applyFont="1" applyFill="1" applyBorder="1" applyAlignment="1" applyProtection="1">
      <alignment horizontal="center" wrapText="1"/>
      <protection locked="0"/>
    </xf>
    <xf numFmtId="0" fontId="10" fillId="0" borderId="23" xfId="0" applyNumberFormat="1" applyFont="1" applyFill="1" applyBorder="1" applyAlignment="1" applyProtection="1">
      <alignment horizontal="center" wrapText="1"/>
      <protection locked="0"/>
    </xf>
    <xf numFmtId="0" fontId="10" fillId="0" borderId="6" xfId="0" applyNumberFormat="1" applyFont="1" applyFill="1" applyBorder="1" applyAlignment="1" applyProtection="1">
      <alignment horizontal="center" wrapText="1"/>
      <protection locked="0"/>
    </xf>
    <xf numFmtId="0" fontId="3" fillId="0" borderId="2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/>
    </xf>
    <xf numFmtId="0" fontId="10" fillId="0" borderId="1" xfId="0" applyFont="1" applyFill="1" applyBorder="1" applyAlignment="1" applyProtection="1">
      <alignment horizontal="left" vertical="center" wrapText="1"/>
    </xf>
    <xf numFmtId="0" fontId="3" fillId="0" borderId="23" xfId="0" applyNumberFormat="1" applyFont="1" applyFill="1" applyBorder="1" applyAlignment="1" applyProtection="1">
      <alignment horizontal="left" vertical="center" wrapText="1"/>
      <protection locked="0"/>
    </xf>
    <xf numFmtId="0" fontId="3" fillId="0" borderId="6" xfId="0" applyNumberFormat="1" applyFont="1" applyFill="1" applyBorder="1" applyAlignment="1" applyProtection="1">
      <alignment horizontal="left" vertical="center" wrapText="1"/>
      <protection locked="0"/>
    </xf>
    <xf numFmtId="0" fontId="4" fillId="0" borderId="14" xfId="0" applyFont="1" applyBorder="1" applyAlignment="1">
      <alignment horizontal="center" vertical="center" textRotation="90" wrapText="1"/>
    </xf>
    <xf numFmtId="0" fontId="4" fillId="0" borderId="11" xfId="0" applyFont="1" applyBorder="1" applyAlignment="1">
      <alignment horizontal="center" vertical="center" textRotation="90" wrapText="1"/>
    </xf>
    <xf numFmtId="0" fontId="4" fillId="0" borderId="17" xfId="0" applyFont="1" applyBorder="1" applyAlignment="1">
      <alignment horizontal="center" vertical="center" textRotation="90" wrapText="1"/>
    </xf>
    <xf numFmtId="0" fontId="4" fillId="0" borderId="18" xfId="0" applyFont="1" applyBorder="1" applyAlignment="1">
      <alignment horizontal="center" vertical="center" textRotation="90" wrapText="1"/>
    </xf>
    <xf numFmtId="49" fontId="3" fillId="0" borderId="9" xfId="0" applyNumberFormat="1" applyFont="1" applyFill="1" applyBorder="1" applyAlignment="1" applyProtection="1">
      <alignment horizontal="center" vertical="center"/>
      <protection locked="0"/>
    </xf>
    <xf numFmtId="0" fontId="5" fillId="0" borderId="4" xfId="0" applyFont="1" applyBorder="1" applyAlignment="1">
      <alignment horizontal="center" vertical="center"/>
    </xf>
    <xf numFmtId="0" fontId="3" fillId="0" borderId="10" xfId="0" applyFont="1" applyFill="1" applyBorder="1" applyAlignment="1" applyProtection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0" fontId="4" fillId="0" borderId="16" xfId="0" applyFont="1" applyBorder="1" applyAlignment="1">
      <alignment horizontal="center" vertical="center" textRotation="90" wrapText="1"/>
    </xf>
    <xf numFmtId="0" fontId="3" fillId="0" borderId="15" xfId="0" applyFont="1" applyFill="1" applyBorder="1" applyAlignment="1">
      <alignment horizontal="center" vertical="center"/>
    </xf>
    <xf numFmtId="0" fontId="3" fillId="0" borderId="5" xfId="0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7" fillId="0" borderId="0" xfId="0" applyFont="1" applyAlignment="1">
      <alignment horizontal="right" vertical="center" indent="1"/>
    </xf>
    <xf numFmtId="0" fontId="7" fillId="0" borderId="0" xfId="0" applyFont="1" applyBorder="1" applyAlignment="1">
      <alignment horizontal="right" vertical="center" indent="1"/>
    </xf>
    <xf numFmtId="0" fontId="4" fillId="0" borderId="0" xfId="0" applyFont="1" applyAlignment="1">
      <alignment horizontal="center" wrapText="1"/>
    </xf>
    <xf numFmtId="0" fontId="7" fillId="0" borderId="0" xfId="0" applyFont="1" applyBorder="1" applyAlignment="1">
      <alignment horizontal="center"/>
    </xf>
    <xf numFmtId="0" fontId="12" fillId="0" borderId="33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34" xfId="0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left" vertical="center" wrapText="1"/>
    </xf>
    <xf numFmtId="49" fontId="0" fillId="0" borderId="0" xfId="0" applyNumberFormat="1" applyAlignment="1">
      <alignment horizontal="left" vertical="center" wrapText="1"/>
    </xf>
    <xf numFmtId="49" fontId="13" fillId="2" borderId="0" xfId="0" applyNumberFormat="1" applyFont="1" applyFill="1" applyBorder="1" applyAlignment="1">
      <alignment horizontal="left" indent="1"/>
    </xf>
    <xf numFmtId="49" fontId="13" fillId="2" borderId="0" xfId="0" applyNumberFormat="1" applyFont="1" applyFill="1" applyBorder="1" applyAlignment="1">
      <alignment horizontal="left" wrapText="1" indent="1"/>
    </xf>
    <xf numFmtId="14" fontId="13" fillId="2" borderId="0" xfId="0" applyNumberFormat="1" applyFont="1" applyFill="1" applyBorder="1" applyAlignment="1">
      <alignment horizontal="left" indent="1"/>
    </xf>
  </cellXfs>
  <cellStyles count="3">
    <cellStyle name="Обычный" xfId="0" builtinId="0"/>
    <cellStyle name="Обычный 3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79"/>
  <sheetViews>
    <sheetView tabSelected="1" zoomScaleNormal="100" workbookViewId="0">
      <selection activeCell="F165" sqref="F165"/>
    </sheetView>
  </sheetViews>
  <sheetFormatPr defaultRowHeight="15" outlineLevelRow="1" x14ac:dyDescent="0.25"/>
  <cols>
    <col min="1" max="1" width="13.85546875" style="18" customWidth="1"/>
    <col min="2" max="2" width="25" style="18" customWidth="1"/>
    <col min="3" max="3" width="50.140625" style="18" customWidth="1"/>
    <col min="4" max="5" width="17.5703125" style="18" customWidth="1"/>
    <col min="6" max="6" width="19.7109375" style="18" customWidth="1"/>
    <col min="7" max="7" width="14.7109375" style="18" customWidth="1"/>
    <col min="8" max="8" width="16.28515625" style="18" customWidth="1"/>
    <col min="9" max="9" width="15.7109375" style="18" customWidth="1"/>
    <col min="10" max="10" width="17" style="18" customWidth="1"/>
    <col min="11" max="11" width="17.7109375" style="18" customWidth="1"/>
    <col min="12" max="12" width="32.140625" style="18" customWidth="1"/>
    <col min="13" max="15" width="10.7109375" style="18" hidden="1" customWidth="1"/>
    <col min="16" max="16" width="14.85546875" style="18" hidden="1" customWidth="1"/>
    <col min="17" max="18" width="10.7109375" style="18" hidden="1" customWidth="1"/>
    <col min="19" max="19" width="9.140625" style="18"/>
    <col min="20" max="20" width="15.28515625" style="194" bestFit="1" customWidth="1"/>
    <col min="21" max="21" width="20" style="194" customWidth="1"/>
    <col min="22" max="22" width="18.28515625" style="194" customWidth="1"/>
    <col min="23" max="23" width="9.28515625" style="18" bestFit="1" customWidth="1"/>
    <col min="24" max="24" width="18.85546875" style="18" customWidth="1"/>
    <col min="25" max="258" width="9.140625" style="18"/>
    <col min="259" max="259" width="25" style="18" customWidth="1"/>
    <col min="260" max="260" width="35.28515625" style="18" customWidth="1"/>
    <col min="261" max="261" width="15.5703125" style="18" customWidth="1"/>
    <col min="262" max="262" width="12.7109375" style="18" customWidth="1"/>
    <col min="263" max="263" width="17.7109375" style="18" customWidth="1"/>
    <col min="264" max="264" width="10.7109375" style="18" customWidth="1"/>
    <col min="265" max="266" width="17.7109375" style="18" customWidth="1"/>
    <col min="267" max="267" width="25.7109375" style="18" customWidth="1"/>
    <col min="268" max="273" width="0" style="18" hidden="1" customWidth="1"/>
    <col min="274" max="514" width="9.140625" style="18"/>
    <col min="515" max="515" width="25" style="18" customWidth="1"/>
    <col min="516" max="516" width="35.28515625" style="18" customWidth="1"/>
    <col min="517" max="517" width="15.5703125" style="18" customWidth="1"/>
    <col min="518" max="518" width="12.7109375" style="18" customWidth="1"/>
    <col min="519" max="519" width="17.7109375" style="18" customWidth="1"/>
    <col min="520" max="520" width="10.7109375" style="18" customWidth="1"/>
    <col min="521" max="522" width="17.7109375" style="18" customWidth="1"/>
    <col min="523" max="523" width="25.7109375" style="18" customWidth="1"/>
    <col min="524" max="529" width="0" style="18" hidden="1" customWidth="1"/>
    <col min="530" max="770" width="9.140625" style="18"/>
    <col min="771" max="771" width="25" style="18" customWidth="1"/>
    <col min="772" max="772" width="35.28515625" style="18" customWidth="1"/>
    <col min="773" max="773" width="15.5703125" style="18" customWidth="1"/>
    <col min="774" max="774" width="12.7109375" style="18" customWidth="1"/>
    <col min="775" max="775" width="17.7109375" style="18" customWidth="1"/>
    <col min="776" max="776" width="10.7109375" style="18" customWidth="1"/>
    <col min="777" max="778" width="17.7109375" style="18" customWidth="1"/>
    <col min="779" max="779" width="25.7109375" style="18" customWidth="1"/>
    <col min="780" max="785" width="0" style="18" hidden="1" customWidth="1"/>
    <col min="786" max="1026" width="9.140625" style="18"/>
    <col min="1027" max="1027" width="25" style="18" customWidth="1"/>
    <col min="1028" max="1028" width="35.28515625" style="18" customWidth="1"/>
    <col min="1029" max="1029" width="15.5703125" style="18" customWidth="1"/>
    <col min="1030" max="1030" width="12.7109375" style="18" customWidth="1"/>
    <col min="1031" max="1031" width="17.7109375" style="18" customWidth="1"/>
    <col min="1032" max="1032" width="10.7109375" style="18" customWidth="1"/>
    <col min="1033" max="1034" width="17.7109375" style="18" customWidth="1"/>
    <col min="1035" max="1035" width="25.7109375" style="18" customWidth="1"/>
    <col min="1036" max="1041" width="0" style="18" hidden="1" customWidth="1"/>
    <col min="1042" max="1282" width="9.140625" style="18"/>
    <col min="1283" max="1283" width="25" style="18" customWidth="1"/>
    <col min="1284" max="1284" width="35.28515625" style="18" customWidth="1"/>
    <col min="1285" max="1285" width="15.5703125" style="18" customWidth="1"/>
    <col min="1286" max="1286" width="12.7109375" style="18" customWidth="1"/>
    <col min="1287" max="1287" width="17.7109375" style="18" customWidth="1"/>
    <col min="1288" max="1288" width="10.7109375" style="18" customWidth="1"/>
    <col min="1289" max="1290" width="17.7109375" style="18" customWidth="1"/>
    <col min="1291" max="1291" width="25.7109375" style="18" customWidth="1"/>
    <col min="1292" max="1297" width="0" style="18" hidden="1" customWidth="1"/>
    <col min="1298" max="1538" width="9.140625" style="18"/>
    <col min="1539" max="1539" width="25" style="18" customWidth="1"/>
    <col min="1540" max="1540" width="35.28515625" style="18" customWidth="1"/>
    <col min="1541" max="1541" width="15.5703125" style="18" customWidth="1"/>
    <col min="1542" max="1542" width="12.7109375" style="18" customWidth="1"/>
    <col min="1543" max="1543" width="17.7109375" style="18" customWidth="1"/>
    <col min="1544" max="1544" width="10.7109375" style="18" customWidth="1"/>
    <col min="1545" max="1546" width="17.7109375" style="18" customWidth="1"/>
    <col min="1547" max="1547" width="25.7109375" style="18" customWidth="1"/>
    <col min="1548" max="1553" width="0" style="18" hidden="1" customWidth="1"/>
    <col min="1554" max="1794" width="9.140625" style="18"/>
    <col min="1795" max="1795" width="25" style="18" customWidth="1"/>
    <col min="1796" max="1796" width="35.28515625" style="18" customWidth="1"/>
    <col min="1797" max="1797" width="15.5703125" style="18" customWidth="1"/>
    <col min="1798" max="1798" width="12.7109375" style="18" customWidth="1"/>
    <col min="1799" max="1799" width="17.7109375" style="18" customWidth="1"/>
    <col min="1800" max="1800" width="10.7109375" style="18" customWidth="1"/>
    <col min="1801" max="1802" width="17.7109375" style="18" customWidth="1"/>
    <col min="1803" max="1803" width="25.7109375" style="18" customWidth="1"/>
    <col min="1804" max="1809" width="0" style="18" hidden="1" customWidth="1"/>
    <col min="1810" max="2050" width="9.140625" style="18"/>
    <col min="2051" max="2051" width="25" style="18" customWidth="1"/>
    <col min="2052" max="2052" width="35.28515625" style="18" customWidth="1"/>
    <col min="2053" max="2053" width="15.5703125" style="18" customWidth="1"/>
    <col min="2054" max="2054" width="12.7109375" style="18" customWidth="1"/>
    <col min="2055" max="2055" width="17.7109375" style="18" customWidth="1"/>
    <col min="2056" max="2056" width="10.7109375" style="18" customWidth="1"/>
    <col min="2057" max="2058" width="17.7109375" style="18" customWidth="1"/>
    <col min="2059" max="2059" width="25.7109375" style="18" customWidth="1"/>
    <col min="2060" max="2065" width="0" style="18" hidden="1" customWidth="1"/>
    <col min="2066" max="2306" width="9.140625" style="18"/>
    <col min="2307" max="2307" width="25" style="18" customWidth="1"/>
    <col min="2308" max="2308" width="35.28515625" style="18" customWidth="1"/>
    <col min="2309" max="2309" width="15.5703125" style="18" customWidth="1"/>
    <col min="2310" max="2310" width="12.7109375" style="18" customWidth="1"/>
    <col min="2311" max="2311" width="17.7109375" style="18" customWidth="1"/>
    <col min="2312" max="2312" width="10.7109375" style="18" customWidth="1"/>
    <col min="2313" max="2314" width="17.7109375" style="18" customWidth="1"/>
    <col min="2315" max="2315" width="25.7109375" style="18" customWidth="1"/>
    <col min="2316" max="2321" width="0" style="18" hidden="1" customWidth="1"/>
    <col min="2322" max="2562" width="9.140625" style="18"/>
    <col min="2563" max="2563" width="25" style="18" customWidth="1"/>
    <col min="2564" max="2564" width="35.28515625" style="18" customWidth="1"/>
    <col min="2565" max="2565" width="15.5703125" style="18" customWidth="1"/>
    <col min="2566" max="2566" width="12.7109375" style="18" customWidth="1"/>
    <col min="2567" max="2567" width="17.7109375" style="18" customWidth="1"/>
    <col min="2568" max="2568" width="10.7109375" style="18" customWidth="1"/>
    <col min="2569" max="2570" width="17.7109375" style="18" customWidth="1"/>
    <col min="2571" max="2571" width="25.7109375" style="18" customWidth="1"/>
    <col min="2572" max="2577" width="0" style="18" hidden="1" customWidth="1"/>
    <col min="2578" max="2818" width="9.140625" style="18"/>
    <col min="2819" max="2819" width="25" style="18" customWidth="1"/>
    <col min="2820" max="2820" width="35.28515625" style="18" customWidth="1"/>
    <col min="2821" max="2821" width="15.5703125" style="18" customWidth="1"/>
    <col min="2822" max="2822" width="12.7109375" style="18" customWidth="1"/>
    <col min="2823" max="2823" width="17.7109375" style="18" customWidth="1"/>
    <col min="2824" max="2824" width="10.7109375" style="18" customWidth="1"/>
    <col min="2825" max="2826" width="17.7109375" style="18" customWidth="1"/>
    <col min="2827" max="2827" width="25.7109375" style="18" customWidth="1"/>
    <col min="2828" max="2833" width="0" style="18" hidden="1" customWidth="1"/>
    <col min="2834" max="3074" width="9.140625" style="18"/>
    <col min="3075" max="3075" width="25" style="18" customWidth="1"/>
    <col min="3076" max="3076" width="35.28515625" style="18" customWidth="1"/>
    <col min="3077" max="3077" width="15.5703125" style="18" customWidth="1"/>
    <col min="3078" max="3078" width="12.7109375" style="18" customWidth="1"/>
    <col min="3079" max="3079" width="17.7109375" style="18" customWidth="1"/>
    <col min="3080" max="3080" width="10.7109375" style="18" customWidth="1"/>
    <col min="3081" max="3082" width="17.7109375" style="18" customWidth="1"/>
    <col min="3083" max="3083" width="25.7109375" style="18" customWidth="1"/>
    <col min="3084" max="3089" width="0" style="18" hidden="1" customWidth="1"/>
    <col min="3090" max="3330" width="9.140625" style="18"/>
    <col min="3331" max="3331" width="25" style="18" customWidth="1"/>
    <col min="3332" max="3332" width="35.28515625" style="18" customWidth="1"/>
    <col min="3333" max="3333" width="15.5703125" style="18" customWidth="1"/>
    <col min="3334" max="3334" width="12.7109375" style="18" customWidth="1"/>
    <col min="3335" max="3335" width="17.7109375" style="18" customWidth="1"/>
    <col min="3336" max="3336" width="10.7109375" style="18" customWidth="1"/>
    <col min="3337" max="3338" width="17.7109375" style="18" customWidth="1"/>
    <col min="3339" max="3339" width="25.7109375" style="18" customWidth="1"/>
    <col min="3340" max="3345" width="0" style="18" hidden="1" customWidth="1"/>
    <col min="3346" max="3586" width="9.140625" style="18"/>
    <col min="3587" max="3587" width="25" style="18" customWidth="1"/>
    <col min="3588" max="3588" width="35.28515625" style="18" customWidth="1"/>
    <col min="3589" max="3589" width="15.5703125" style="18" customWidth="1"/>
    <col min="3590" max="3590" width="12.7109375" style="18" customWidth="1"/>
    <col min="3591" max="3591" width="17.7109375" style="18" customWidth="1"/>
    <col min="3592" max="3592" width="10.7109375" style="18" customWidth="1"/>
    <col min="3593" max="3594" width="17.7109375" style="18" customWidth="1"/>
    <col min="3595" max="3595" width="25.7109375" style="18" customWidth="1"/>
    <col min="3596" max="3601" width="0" style="18" hidden="1" customWidth="1"/>
    <col min="3602" max="3842" width="9.140625" style="18"/>
    <col min="3843" max="3843" width="25" style="18" customWidth="1"/>
    <col min="3844" max="3844" width="35.28515625" style="18" customWidth="1"/>
    <col min="3845" max="3845" width="15.5703125" style="18" customWidth="1"/>
    <col min="3846" max="3846" width="12.7109375" style="18" customWidth="1"/>
    <col min="3847" max="3847" width="17.7109375" style="18" customWidth="1"/>
    <col min="3848" max="3848" width="10.7109375" style="18" customWidth="1"/>
    <col min="3849" max="3850" width="17.7109375" style="18" customWidth="1"/>
    <col min="3851" max="3851" width="25.7109375" style="18" customWidth="1"/>
    <col min="3852" max="3857" width="0" style="18" hidden="1" customWidth="1"/>
    <col min="3858" max="4098" width="9.140625" style="18"/>
    <col min="4099" max="4099" width="25" style="18" customWidth="1"/>
    <col min="4100" max="4100" width="35.28515625" style="18" customWidth="1"/>
    <col min="4101" max="4101" width="15.5703125" style="18" customWidth="1"/>
    <col min="4102" max="4102" width="12.7109375" style="18" customWidth="1"/>
    <col min="4103" max="4103" width="17.7109375" style="18" customWidth="1"/>
    <col min="4104" max="4104" width="10.7109375" style="18" customWidth="1"/>
    <col min="4105" max="4106" width="17.7109375" style="18" customWidth="1"/>
    <col min="4107" max="4107" width="25.7109375" style="18" customWidth="1"/>
    <col min="4108" max="4113" width="0" style="18" hidden="1" customWidth="1"/>
    <col min="4114" max="4354" width="9.140625" style="18"/>
    <col min="4355" max="4355" width="25" style="18" customWidth="1"/>
    <col min="4356" max="4356" width="35.28515625" style="18" customWidth="1"/>
    <col min="4357" max="4357" width="15.5703125" style="18" customWidth="1"/>
    <col min="4358" max="4358" width="12.7109375" style="18" customWidth="1"/>
    <col min="4359" max="4359" width="17.7109375" style="18" customWidth="1"/>
    <col min="4360" max="4360" width="10.7109375" style="18" customWidth="1"/>
    <col min="4361" max="4362" width="17.7109375" style="18" customWidth="1"/>
    <col min="4363" max="4363" width="25.7109375" style="18" customWidth="1"/>
    <col min="4364" max="4369" width="0" style="18" hidden="1" customWidth="1"/>
    <col min="4370" max="4610" width="9.140625" style="18"/>
    <col min="4611" max="4611" width="25" style="18" customWidth="1"/>
    <col min="4612" max="4612" width="35.28515625" style="18" customWidth="1"/>
    <col min="4613" max="4613" width="15.5703125" style="18" customWidth="1"/>
    <col min="4614" max="4614" width="12.7109375" style="18" customWidth="1"/>
    <col min="4615" max="4615" width="17.7109375" style="18" customWidth="1"/>
    <col min="4616" max="4616" width="10.7109375" style="18" customWidth="1"/>
    <col min="4617" max="4618" width="17.7109375" style="18" customWidth="1"/>
    <col min="4619" max="4619" width="25.7109375" style="18" customWidth="1"/>
    <col min="4620" max="4625" width="0" style="18" hidden="1" customWidth="1"/>
    <col min="4626" max="4866" width="9.140625" style="18"/>
    <col min="4867" max="4867" width="25" style="18" customWidth="1"/>
    <col min="4868" max="4868" width="35.28515625" style="18" customWidth="1"/>
    <col min="4869" max="4869" width="15.5703125" style="18" customWidth="1"/>
    <col min="4870" max="4870" width="12.7109375" style="18" customWidth="1"/>
    <col min="4871" max="4871" width="17.7109375" style="18" customWidth="1"/>
    <col min="4872" max="4872" width="10.7109375" style="18" customWidth="1"/>
    <col min="4873" max="4874" width="17.7109375" style="18" customWidth="1"/>
    <col min="4875" max="4875" width="25.7109375" style="18" customWidth="1"/>
    <col min="4876" max="4881" width="0" style="18" hidden="1" customWidth="1"/>
    <col min="4882" max="5122" width="9.140625" style="18"/>
    <col min="5123" max="5123" width="25" style="18" customWidth="1"/>
    <col min="5124" max="5124" width="35.28515625" style="18" customWidth="1"/>
    <col min="5125" max="5125" width="15.5703125" style="18" customWidth="1"/>
    <col min="5126" max="5126" width="12.7109375" style="18" customWidth="1"/>
    <col min="5127" max="5127" width="17.7109375" style="18" customWidth="1"/>
    <col min="5128" max="5128" width="10.7109375" style="18" customWidth="1"/>
    <col min="5129" max="5130" width="17.7109375" style="18" customWidth="1"/>
    <col min="5131" max="5131" width="25.7109375" style="18" customWidth="1"/>
    <col min="5132" max="5137" width="0" style="18" hidden="1" customWidth="1"/>
    <col min="5138" max="5378" width="9.140625" style="18"/>
    <col min="5379" max="5379" width="25" style="18" customWidth="1"/>
    <col min="5380" max="5380" width="35.28515625" style="18" customWidth="1"/>
    <col min="5381" max="5381" width="15.5703125" style="18" customWidth="1"/>
    <col min="5382" max="5382" width="12.7109375" style="18" customWidth="1"/>
    <col min="5383" max="5383" width="17.7109375" style="18" customWidth="1"/>
    <col min="5384" max="5384" width="10.7109375" style="18" customWidth="1"/>
    <col min="5385" max="5386" width="17.7109375" style="18" customWidth="1"/>
    <col min="5387" max="5387" width="25.7109375" style="18" customWidth="1"/>
    <col min="5388" max="5393" width="0" style="18" hidden="1" customWidth="1"/>
    <col min="5394" max="5634" width="9.140625" style="18"/>
    <col min="5635" max="5635" width="25" style="18" customWidth="1"/>
    <col min="5636" max="5636" width="35.28515625" style="18" customWidth="1"/>
    <col min="5637" max="5637" width="15.5703125" style="18" customWidth="1"/>
    <col min="5638" max="5638" width="12.7109375" style="18" customWidth="1"/>
    <col min="5639" max="5639" width="17.7109375" style="18" customWidth="1"/>
    <col min="5640" max="5640" width="10.7109375" style="18" customWidth="1"/>
    <col min="5641" max="5642" width="17.7109375" style="18" customWidth="1"/>
    <col min="5643" max="5643" width="25.7109375" style="18" customWidth="1"/>
    <col min="5644" max="5649" width="0" style="18" hidden="1" customWidth="1"/>
    <col min="5650" max="5890" width="9.140625" style="18"/>
    <col min="5891" max="5891" width="25" style="18" customWidth="1"/>
    <col min="5892" max="5892" width="35.28515625" style="18" customWidth="1"/>
    <col min="5893" max="5893" width="15.5703125" style="18" customWidth="1"/>
    <col min="5894" max="5894" width="12.7109375" style="18" customWidth="1"/>
    <col min="5895" max="5895" width="17.7109375" style="18" customWidth="1"/>
    <col min="5896" max="5896" width="10.7109375" style="18" customWidth="1"/>
    <col min="5897" max="5898" width="17.7109375" style="18" customWidth="1"/>
    <col min="5899" max="5899" width="25.7109375" style="18" customWidth="1"/>
    <col min="5900" max="5905" width="0" style="18" hidden="1" customWidth="1"/>
    <col min="5906" max="6146" width="9.140625" style="18"/>
    <col min="6147" max="6147" width="25" style="18" customWidth="1"/>
    <col min="6148" max="6148" width="35.28515625" style="18" customWidth="1"/>
    <col min="6149" max="6149" width="15.5703125" style="18" customWidth="1"/>
    <col min="6150" max="6150" width="12.7109375" style="18" customWidth="1"/>
    <col min="6151" max="6151" width="17.7109375" style="18" customWidth="1"/>
    <col min="6152" max="6152" width="10.7109375" style="18" customWidth="1"/>
    <col min="6153" max="6154" width="17.7109375" style="18" customWidth="1"/>
    <col min="6155" max="6155" width="25.7109375" style="18" customWidth="1"/>
    <col min="6156" max="6161" width="0" style="18" hidden="1" customWidth="1"/>
    <col min="6162" max="6402" width="9.140625" style="18"/>
    <col min="6403" max="6403" width="25" style="18" customWidth="1"/>
    <col min="6404" max="6404" width="35.28515625" style="18" customWidth="1"/>
    <col min="6405" max="6405" width="15.5703125" style="18" customWidth="1"/>
    <col min="6406" max="6406" width="12.7109375" style="18" customWidth="1"/>
    <col min="6407" max="6407" width="17.7109375" style="18" customWidth="1"/>
    <col min="6408" max="6408" width="10.7109375" style="18" customWidth="1"/>
    <col min="6409" max="6410" width="17.7109375" style="18" customWidth="1"/>
    <col min="6411" max="6411" width="25.7109375" style="18" customWidth="1"/>
    <col min="6412" max="6417" width="0" style="18" hidden="1" customWidth="1"/>
    <col min="6418" max="6658" width="9.140625" style="18"/>
    <col min="6659" max="6659" width="25" style="18" customWidth="1"/>
    <col min="6660" max="6660" width="35.28515625" style="18" customWidth="1"/>
    <col min="6661" max="6661" width="15.5703125" style="18" customWidth="1"/>
    <col min="6662" max="6662" width="12.7109375" style="18" customWidth="1"/>
    <col min="6663" max="6663" width="17.7109375" style="18" customWidth="1"/>
    <col min="6664" max="6664" width="10.7109375" style="18" customWidth="1"/>
    <col min="6665" max="6666" width="17.7109375" style="18" customWidth="1"/>
    <col min="6667" max="6667" width="25.7109375" style="18" customWidth="1"/>
    <col min="6668" max="6673" width="0" style="18" hidden="1" customWidth="1"/>
    <col min="6674" max="6914" width="9.140625" style="18"/>
    <col min="6915" max="6915" width="25" style="18" customWidth="1"/>
    <col min="6916" max="6916" width="35.28515625" style="18" customWidth="1"/>
    <col min="6917" max="6917" width="15.5703125" style="18" customWidth="1"/>
    <col min="6918" max="6918" width="12.7109375" style="18" customWidth="1"/>
    <col min="6919" max="6919" width="17.7109375" style="18" customWidth="1"/>
    <col min="6920" max="6920" width="10.7109375" style="18" customWidth="1"/>
    <col min="6921" max="6922" width="17.7109375" style="18" customWidth="1"/>
    <col min="6923" max="6923" width="25.7109375" style="18" customWidth="1"/>
    <col min="6924" max="6929" width="0" style="18" hidden="1" customWidth="1"/>
    <col min="6930" max="7170" width="9.140625" style="18"/>
    <col min="7171" max="7171" width="25" style="18" customWidth="1"/>
    <col min="7172" max="7172" width="35.28515625" style="18" customWidth="1"/>
    <col min="7173" max="7173" width="15.5703125" style="18" customWidth="1"/>
    <col min="7174" max="7174" width="12.7109375" style="18" customWidth="1"/>
    <col min="7175" max="7175" width="17.7109375" style="18" customWidth="1"/>
    <col min="7176" max="7176" width="10.7109375" style="18" customWidth="1"/>
    <col min="7177" max="7178" width="17.7109375" style="18" customWidth="1"/>
    <col min="7179" max="7179" width="25.7109375" style="18" customWidth="1"/>
    <col min="7180" max="7185" width="0" style="18" hidden="1" customWidth="1"/>
    <col min="7186" max="7426" width="9.140625" style="18"/>
    <col min="7427" max="7427" width="25" style="18" customWidth="1"/>
    <col min="7428" max="7428" width="35.28515625" style="18" customWidth="1"/>
    <col min="7429" max="7429" width="15.5703125" style="18" customWidth="1"/>
    <col min="7430" max="7430" width="12.7109375" style="18" customWidth="1"/>
    <col min="7431" max="7431" width="17.7109375" style="18" customWidth="1"/>
    <col min="7432" max="7432" width="10.7109375" style="18" customWidth="1"/>
    <col min="7433" max="7434" width="17.7109375" style="18" customWidth="1"/>
    <col min="7435" max="7435" width="25.7109375" style="18" customWidth="1"/>
    <col min="7436" max="7441" width="0" style="18" hidden="1" customWidth="1"/>
    <col min="7442" max="7682" width="9.140625" style="18"/>
    <col min="7683" max="7683" width="25" style="18" customWidth="1"/>
    <col min="7684" max="7684" width="35.28515625" style="18" customWidth="1"/>
    <col min="7685" max="7685" width="15.5703125" style="18" customWidth="1"/>
    <col min="7686" max="7686" width="12.7109375" style="18" customWidth="1"/>
    <col min="7687" max="7687" width="17.7109375" style="18" customWidth="1"/>
    <col min="7688" max="7688" width="10.7109375" style="18" customWidth="1"/>
    <col min="7689" max="7690" width="17.7109375" style="18" customWidth="1"/>
    <col min="7691" max="7691" width="25.7109375" style="18" customWidth="1"/>
    <col min="7692" max="7697" width="0" style="18" hidden="1" customWidth="1"/>
    <col min="7698" max="7938" width="9.140625" style="18"/>
    <col min="7939" max="7939" width="25" style="18" customWidth="1"/>
    <col min="7940" max="7940" width="35.28515625" style="18" customWidth="1"/>
    <col min="7941" max="7941" width="15.5703125" style="18" customWidth="1"/>
    <col min="7942" max="7942" width="12.7109375" style="18" customWidth="1"/>
    <col min="7943" max="7943" width="17.7109375" style="18" customWidth="1"/>
    <col min="7944" max="7944" width="10.7109375" style="18" customWidth="1"/>
    <col min="7945" max="7946" width="17.7109375" style="18" customWidth="1"/>
    <col min="7947" max="7947" width="25.7109375" style="18" customWidth="1"/>
    <col min="7948" max="7953" width="0" style="18" hidden="1" customWidth="1"/>
    <col min="7954" max="8194" width="9.140625" style="18"/>
    <col min="8195" max="8195" width="25" style="18" customWidth="1"/>
    <col min="8196" max="8196" width="35.28515625" style="18" customWidth="1"/>
    <col min="8197" max="8197" width="15.5703125" style="18" customWidth="1"/>
    <col min="8198" max="8198" width="12.7109375" style="18" customWidth="1"/>
    <col min="8199" max="8199" width="17.7109375" style="18" customWidth="1"/>
    <col min="8200" max="8200" width="10.7109375" style="18" customWidth="1"/>
    <col min="8201" max="8202" width="17.7109375" style="18" customWidth="1"/>
    <col min="8203" max="8203" width="25.7109375" style="18" customWidth="1"/>
    <col min="8204" max="8209" width="0" style="18" hidden="1" customWidth="1"/>
    <col min="8210" max="8450" width="9.140625" style="18"/>
    <col min="8451" max="8451" width="25" style="18" customWidth="1"/>
    <col min="8452" max="8452" width="35.28515625" style="18" customWidth="1"/>
    <col min="8453" max="8453" width="15.5703125" style="18" customWidth="1"/>
    <col min="8454" max="8454" width="12.7109375" style="18" customWidth="1"/>
    <col min="8455" max="8455" width="17.7109375" style="18" customWidth="1"/>
    <col min="8456" max="8456" width="10.7109375" style="18" customWidth="1"/>
    <col min="8457" max="8458" width="17.7109375" style="18" customWidth="1"/>
    <col min="8459" max="8459" width="25.7109375" style="18" customWidth="1"/>
    <col min="8460" max="8465" width="0" style="18" hidden="1" customWidth="1"/>
    <col min="8466" max="8706" width="9.140625" style="18"/>
    <col min="8707" max="8707" width="25" style="18" customWidth="1"/>
    <col min="8708" max="8708" width="35.28515625" style="18" customWidth="1"/>
    <col min="8709" max="8709" width="15.5703125" style="18" customWidth="1"/>
    <col min="8710" max="8710" width="12.7109375" style="18" customWidth="1"/>
    <col min="8711" max="8711" width="17.7109375" style="18" customWidth="1"/>
    <col min="8712" max="8712" width="10.7109375" style="18" customWidth="1"/>
    <col min="8713" max="8714" width="17.7109375" style="18" customWidth="1"/>
    <col min="8715" max="8715" width="25.7109375" style="18" customWidth="1"/>
    <col min="8716" max="8721" width="0" style="18" hidden="1" customWidth="1"/>
    <col min="8722" max="8962" width="9.140625" style="18"/>
    <col min="8963" max="8963" width="25" style="18" customWidth="1"/>
    <col min="8964" max="8964" width="35.28515625" style="18" customWidth="1"/>
    <col min="8965" max="8965" width="15.5703125" style="18" customWidth="1"/>
    <col min="8966" max="8966" width="12.7109375" style="18" customWidth="1"/>
    <col min="8967" max="8967" width="17.7109375" style="18" customWidth="1"/>
    <col min="8968" max="8968" width="10.7109375" style="18" customWidth="1"/>
    <col min="8969" max="8970" width="17.7109375" style="18" customWidth="1"/>
    <col min="8971" max="8971" width="25.7109375" style="18" customWidth="1"/>
    <col min="8972" max="8977" width="0" style="18" hidden="1" customWidth="1"/>
    <col min="8978" max="9218" width="9.140625" style="18"/>
    <col min="9219" max="9219" width="25" style="18" customWidth="1"/>
    <col min="9220" max="9220" width="35.28515625" style="18" customWidth="1"/>
    <col min="9221" max="9221" width="15.5703125" style="18" customWidth="1"/>
    <col min="9222" max="9222" width="12.7109375" style="18" customWidth="1"/>
    <col min="9223" max="9223" width="17.7109375" style="18" customWidth="1"/>
    <col min="9224" max="9224" width="10.7109375" style="18" customWidth="1"/>
    <col min="9225" max="9226" width="17.7109375" style="18" customWidth="1"/>
    <col min="9227" max="9227" width="25.7109375" style="18" customWidth="1"/>
    <col min="9228" max="9233" width="0" style="18" hidden="1" customWidth="1"/>
    <col min="9234" max="9474" width="9.140625" style="18"/>
    <col min="9475" max="9475" width="25" style="18" customWidth="1"/>
    <col min="9476" max="9476" width="35.28515625" style="18" customWidth="1"/>
    <col min="9477" max="9477" width="15.5703125" style="18" customWidth="1"/>
    <col min="9478" max="9478" width="12.7109375" style="18" customWidth="1"/>
    <col min="9479" max="9479" width="17.7109375" style="18" customWidth="1"/>
    <col min="9480" max="9480" width="10.7109375" style="18" customWidth="1"/>
    <col min="9481" max="9482" width="17.7109375" style="18" customWidth="1"/>
    <col min="9483" max="9483" width="25.7109375" style="18" customWidth="1"/>
    <col min="9484" max="9489" width="0" style="18" hidden="1" customWidth="1"/>
    <col min="9490" max="9730" width="9.140625" style="18"/>
    <col min="9731" max="9731" width="25" style="18" customWidth="1"/>
    <col min="9732" max="9732" width="35.28515625" style="18" customWidth="1"/>
    <col min="9733" max="9733" width="15.5703125" style="18" customWidth="1"/>
    <col min="9734" max="9734" width="12.7109375" style="18" customWidth="1"/>
    <col min="9735" max="9735" width="17.7109375" style="18" customWidth="1"/>
    <col min="9736" max="9736" width="10.7109375" style="18" customWidth="1"/>
    <col min="9737" max="9738" width="17.7109375" style="18" customWidth="1"/>
    <col min="9739" max="9739" width="25.7109375" style="18" customWidth="1"/>
    <col min="9740" max="9745" width="0" style="18" hidden="1" customWidth="1"/>
    <col min="9746" max="9986" width="9.140625" style="18"/>
    <col min="9987" max="9987" width="25" style="18" customWidth="1"/>
    <col min="9988" max="9988" width="35.28515625" style="18" customWidth="1"/>
    <col min="9989" max="9989" width="15.5703125" style="18" customWidth="1"/>
    <col min="9990" max="9990" width="12.7109375" style="18" customWidth="1"/>
    <col min="9991" max="9991" width="17.7109375" style="18" customWidth="1"/>
    <col min="9992" max="9992" width="10.7109375" style="18" customWidth="1"/>
    <col min="9993" max="9994" width="17.7109375" style="18" customWidth="1"/>
    <col min="9995" max="9995" width="25.7109375" style="18" customWidth="1"/>
    <col min="9996" max="10001" width="0" style="18" hidden="1" customWidth="1"/>
    <col min="10002" max="10242" width="9.140625" style="18"/>
    <col min="10243" max="10243" width="25" style="18" customWidth="1"/>
    <col min="10244" max="10244" width="35.28515625" style="18" customWidth="1"/>
    <col min="10245" max="10245" width="15.5703125" style="18" customWidth="1"/>
    <col min="10246" max="10246" width="12.7109375" style="18" customWidth="1"/>
    <col min="10247" max="10247" width="17.7109375" style="18" customWidth="1"/>
    <col min="10248" max="10248" width="10.7109375" style="18" customWidth="1"/>
    <col min="10249" max="10250" width="17.7109375" style="18" customWidth="1"/>
    <col min="10251" max="10251" width="25.7109375" style="18" customWidth="1"/>
    <col min="10252" max="10257" width="0" style="18" hidden="1" customWidth="1"/>
    <col min="10258" max="10498" width="9.140625" style="18"/>
    <col min="10499" max="10499" width="25" style="18" customWidth="1"/>
    <col min="10500" max="10500" width="35.28515625" style="18" customWidth="1"/>
    <col min="10501" max="10501" width="15.5703125" style="18" customWidth="1"/>
    <col min="10502" max="10502" width="12.7109375" style="18" customWidth="1"/>
    <col min="10503" max="10503" width="17.7109375" style="18" customWidth="1"/>
    <col min="10504" max="10504" width="10.7109375" style="18" customWidth="1"/>
    <col min="10505" max="10506" width="17.7109375" style="18" customWidth="1"/>
    <col min="10507" max="10507" width="25.7109375" style="18" customWidth="1"/>
    <col min="10508" max="10513" width="0" style="18" hidden="1" customWidth="1"/>
    <col min="10514" max="10754" width="9.140625" style="18"/>
    <col min="10755" max="10755" width="25" style="18" customWidth="1"/>
    <col min="10756" max="10756" width="35.28515625" style="18" customWidth="1"/>
    <col min="10757" max="10757" width="15.5703125" style="18" customWidth="1"/>
    <col min="10758" max="10758" width="12.7109375" style="18" customWidth="1"/>
    <col min="10759" max="10759" width="17.7109375" style="18" customWidth="1"/>
    <col min="10760" max="10760" width="10.7109375" style="18" customWidth="1"/>
    <col min="10761" max="10762" width="17.7109375" style="18" customWidth="1"/>
    <col min="10763" max="10763" width="25.7109375" style="18" customWidth="1"/>
    <col min="10764" max="10769" width="0" style="18" hidden="1" customWidth="1"/>
    <col min="10770" max="11010" width="9.140625" style="18"/>
    <col min="11011" max="11011" width="25" style="18" customWidth="1"/>
    <col min="11012" max="11012" width="35.28515625" style="18" customWidth="1"/>
    <col min="11013" max="11013" width="15.5703125" style="18" customWidth="1"/>
    <col min="11014" max="11014" width="12.7109375" style="18" customWidth="1"/>
    <col min="11015" max="11015" width="17.7109375" style="18" customWidth="1"/>
    <col min="11016" max="11016" width="10.7109375" style="18" customWidth="1"/>
    <col min="11017" max="11018" width="17.7109375" style="18" customWidth="1"/>
    <col min="11019" max="11019" width="25.7109375" style="18" customWidth="1"/>
    <col min="11020" max="11025" width="0" style="18" hidden="1" customWidth="1"/>
    <col min="11026" max="11266" width="9.140625" style="18"/>
    <col min="11267" max="11267" width="25" style="18" customWidth="1"/>
    <col min="11268" max="11268" width="35.28515625" style="18" customWidth="1"/>
    <col min="11269" max="11269" width="15.5703125" style="18" customWidth="1"/>
    <col min="11270" max="11270" width="12.7109375" style="18" customWidth="1"/>
    <col min="11271" max="11271" width="17.7109375" style="18" customWidth="1"/>
    <col min="11272" max="11272" width="10.7109375" style="18" customWidth="1"/>
    <col min="11273" max="11274" width="17.7109375" style="18" customWidth="1"/>
    <col min="11275" max="11275" width="25.7109375" style="18" customWidth="1"/>
    <col min="11276" max="11281" width="0" style="18" hidden="1" customWidth="1"/>
    <col min="11282" max="11522" width="9.140625" style="18"/>
    <col min="11523" max="11523" width="25" style="18" customWidth="1"/>
    <col min="11524" max="11524" width="35.28515625" style="18" customWidth="1"/>
    <col min="11525" max="11525" width="15.5703125" style="18" customWidth="1"/>
    <col min="11526" max="11526" width="12.7109375" style="18" customWidth="1"/>
    <col min="11527" max="11527" width="17.7109375" style="18" customWidth="1"/>
    <col min="11528" max="11528" width="10.7109375" style="18" customWidth="1"/>
    <col min="11529" max="11530" width="17.7109375" style="18" customWidth="1"/>
    <col min="11531" max="11531" width="25.7109375" style="18" customWidth="1"/>
    <col min="11532" max="11537" width="0" style="18" hidden="1" customWidth="1"/>
    <col min="11538" max="11778" width="9.140625" style="18"/>
    <col min="11779" max="11779" width="25" style="18" customWidth="1"/>
    <col min="11780" max="11780" width="35.28515625" style="18" customWidth="1"/>
    <col min="11781" max="11781" width="15.5703125" style="18" customWidth="1"/>
    <col min="11782" max="11782" width="12.7109375" style="18" customWidth="1"/>
    <col min="11783" max="11783" width="17.7109375" style="18" customWidth="1"/>
    <col min="11784" max="11784" width="10.7109375" style="18" customWidth="1"/>
    <col min="11785" max="11786" width="17.7109375" style="18" customWidth="1"/>
    <col min="11787" max="11787" width="25.7109375" style="18" customWidth="1"/>
    <col min="11788" max="11793" width="0" style="18" hidden="1" customWidth="1"/>
    <col min="11794" max="12034" width="9.140625" style="18"/>
    <col min="12035" max="12035" width="25" style="18" customWidth="1"/>
    <col min="12036" max="12036" width="35.28515625" style="18" customWidth="1"/>
    <col min="12037" max="12037" width="15.5703125" style="18" customWidth="1"/>
    <col min="12038" max="12038" width="12.7109375" style="18" customWidth="1"/>
    <col min="12039" max="12039" width="17.7109375" style="18" customWidth="1"/>
    <col min="12040" max="12040" width="10.7109375" style="18" customWidth="1"/>
    <col min="12041" max="12042" width="17.7109375" style="18" customWidth="1"/>
    <col min="12043" max="12043" width="25.7109375" style="18" customWidth="1"/>
    <col min="12044" max="12049" width="0" style="18" hidden="1" customWidth="1"/>
    <col min="12050" max="12290" width="9.140625" style="18"/>
    <col min="12291" max="12291" width="25" style="18" customWidth="1"/>
    <col min="12292" max="12292" width="35.28515625" style="18" customWidth="1"/>
    <col min="12293" max="12293" width="15.5703125" style="18" customWidth="1"/>
    <col min="12294" max="12294" width="12.7109375" style="18" customWidth="1"/>
    <col min="12295" max="12295" width="17.7109375" style="18" customWidth="1"/>
    <col min="12296" max="12296" width="10.7109375" style="18" customWidth="1"/>
    <col min="12297" max="12298" width="17.7109375" style="18" customWidth="1"/>
    <col min="12299" max="12299" width="25.7109375" style="18" customWidth="1"/>
    <col min="12300" max="12305" width="0" style="18" hidden="1" customWidth="1"/>
    <col min="12306" max="12546" width="9.140625" style="18"/>
    <col min="12547" max="12547" width="25" style="18" customWidth="1"/>
    <col min="12548" max="12548" width="35.28515625" style="18" customWidth="1"/>
    <col min="12549" max="12549" width="15.5703125" style="18" customWidth="1"/>
    <col min="12550" max="12550" width="12.7109375" style="18" customWidth="1"/>
    <col min="12551" max="12551" width="17.7109375" style="18" customWidth="1"/>
    <col min="12552" max="12552" width="10.7109375" style="18" customWidth="1"/>
    <col min="12553" max="12554" width="17.7109375" style="18" customWidth="1"/>
    <col min="12555" max="12555" width="25.7109375" style="18" customWidth="1"/>
    <col min="12556" max="12561" width="0" style="18" hidden="1" customWidth="1"/>
    <col min="12562" max="12802" width="9.140625" style="18"/>
    <col min="12803" max="12803" width="25" style="18" customWidth="1"/>
    <col min="12804" max="12804" width="35.28515625" style="18" customWidth="1"/>
    <col min="12805" max="12805" width="15.5703125" style="18" customWidth="1"/>
    <col min="12806" max="12806" width="12.7109375" style="18" customWidth="1"/>
    <col min="12807" max="12807" width="17.7109375" style="18" customWidth="1"/>
    <col min="12808" max="12808" width="10.7109375" style="18" customWidth="1"/>
    <col min="12809" max="12810" width="17.7109375" style="18" customWidth="1"/>
    <col min="12811" max="12811" width="25.7109375" style="18" customWidth="1"/>
    <col min="12812" max="12817" width="0" style="18" hidden="1" customWidth="1"/>
    <col min="12818" max="13058" width="9.140625" style="18"/>
    <col min="13059" max="13059" width="25" style="18" customWidth="1"/>
    <col min="13060" max="13060" width="35.28515625" style="18" customWidth="1"/>
    <col min="13061" max="13061" width="15.5703125" style="18" customWidth="1"/>
    <col min="13062" max="13062" width="12.7109375" style="18" customWidth="1"/>
    <col min="13063" max="13063" width="17.7109375" style="18" customWidth="1"/>
    <col min="13064" max="13064" width="10.7109375" style="18" customWidth="1"/>
    <col min="13065" max="13066" width="17.7109375" style="18" customWidth="1"/>
    <col min="13067" max="13067" width="25.7109375" style="18" customWidth="1"/>
    <col min="13068" max="13073" width="0" style="18" hidden="1" customWidth="1"/>
    <col min="13074" max="13314" width="9.140625" style="18"/>
    <col min="13315" max="13315" width="25" style="18" customWidth="1"/>
    <col min="13316" max="13316" width="35.28515625" style="18" customWidth="1"/>
    <col min="13317" max="13317" width="15.5703125" style="18" customWidth="1"/>
    <col min="13318" max="13318" width="12.7109375" style="18" customWidth="1"/>
    <col min="13319" max="13319" width="17.7109375" style="18" customWidth="1"/>
    <col min="13320" max="13320" width="10.7109375" style="18" customWidth="1"/>
    <col min="13321" max="13322" width="17.7109375" style="18" customWidth="1"/>
    <col min="13323" max="13323" width="25.7109375" style="18" customWidth="1"/>
    <col min="13324" max="13329" width="0" style="18" hidden="1" customWidth="1"/>
    <col min="13330" max="13570" width="9.140625" style="18"/>
    <col min="13571" max="13571" width="25" style="18" customWidth="1"/>
    <col min="13572" max="13572" width="35.28515625" style="18" customWidth="1"/>
    <col min="13573" max="13573" width="15.5703125" style="18" customWidth="1"/>
    <col min="13574" max="13574" width="12.7109375" style="18" customWidth="1"/>
    <col min="13575" max="13575" width="17.7109375" style="18" customWidth="1"/>
    <col min="13576" max="13576" width="10.7109375" style="18" customWidth="1"/>
    <col min="13577" max="13578" width="17.7109375" style="18" customWidth="1"/>
    <col min="13579" max="13579" width="25.7109375" style="18" customWidth="1"/>
    <col min="13580" max="13585" width="0" style="18" hidden="1" customWidth="1"/>
    <col min="13586" max="13826" width="9.140625" style="18"/>
    <col min="13827" max="13827" width="25" style="18" customWidth="1"/>
    <col min="13828" max="13828" width="35.28515625" style="18" customWidth="1"/>
    <col min="13829" max="13829" width="15.5703125" style="18" customWidth="1"/>
    <col min="13830" max="13830" width="12.7109375" style="18" customWidth="1"/>
    <col min="13831" max="13831" width="17.7109375" style="18" customWidth="1"/>
    <col min="13832" max="13832" width="10.7109375" style="18" customWidth="1"/>
    <col min="13833" max="13834" width="17.7109375" style="18" customWidth="1"/>
    <col min="13835" max="13835" width="25.7109375" style="18" customWidth="1"/>
    <col min="13836" max="13841" width="0" style="18" hidden="1" customWidth="1"/>
    <col min="13842" max="14082" width="9.140625" style="18"/>
    <col min="14083" max="14083" width="25" style="18" customWidth="1"/>
    <col min="14084" max="14084" width="35.28515625" style="18" customWidth="1"/>
    <col min="14085" max="14085" width="15.5703125" style="18" customWidth="1"/>
    <col min="14086" max="14086" width="12.7109375" style="18" customWidth="1"/>
    <col min="14087" max="14087" width="17.7109375" style="18" customWidth="1"/>
    <col min="14088" max="14088" width="10.7109375" style="18" customWidth="1"/>
    <col min="14089" max="14090" width="17.7109375" style="18" customWidth="1"/>
    <col min="14091" max="14091" width="25.7109375" style="18" customWidth="1"/>
    <col min="14092" max="14097" width="0" style="18" hidden="1" customWidth="1"/>
    <col min="14098" max="14338" width="9.140625" style="18"/>
    <col min="14339" max="14339" width="25" style="18" customWidth="1"/>
    <col min="14340" max="14340" width="35.28515625" style="18" customWidth="1"/>
    <col min="14341" max="14341" width="15.5703125" style="18" customWidth="1"/>
    <col min="14342" max="14342" width="12.7109375" style="18" customWidth="1"/>
    <col min="14343" max="14343" width="17.7109375" style="18" customWidth="1"/>
    <col min="14344" max="14344" width="10.7109375" style="18" customWidth="1"/>
    <col min="14345" max="14346" width="17.7109375" style="18" customWidth="1"/>
    <col min="14347" max="14347" width="25.7109375" style="18" customWidth="1"/>
    <col min="14348" max="14353" width="0" style="18" hidden="1" customWidth="1"/>
    <col min="14354" max="14594" width="9.140625" style="18"/>
    <col min="14595" max="14595" width="25" style="18" customWidth="1"/>
    <col min="14596" max="14596" width="35.28515625" style="18" customWidth="1"/>
    <col min="14597" max="14597" width="15.5703125" style="18" customWidth="1"/>
    <col min="14598" max="14598" width="12.7109375" style="18" customWidth="1"/>
    <col min="14599" max="14599" width="17.7109375" style="18" customWidth="1"/>
    <col min="14600" max="14600" width="10.7109375" style="18" customWidth="1"/>
    <col min="14601" max="14602" width="17.7109375" style="18" customWidth="1"/>
    <col min="14603" max="14603" width="25.7109375" style="18" customWidth="1"/>
    <col min="14604" max="14609" width="0" style="18" hidden="1" customWidth="1"/>
    <col min="14610" max="14850" width="9.140625" style="18"/>
    <col min="14851" max="14851" width="25" style="18" customWidth="1"/>
    <col min="14852" max="14852" width="35.28515625" style="18" customWidth="1"/>
    <col min="14853" max="14853" width="15.5703125" style="18" customWidth="1"/>
    <col min="14854" max="14854" width="12.7109375" style="18" customWidth="1"/>
    <col min="14855" max="14855" width="17.7109375" style="18" customWidth="1"/>
    <col min="14856" max="14856" width="10.7109375" style="18" customWidth="1"/>
    <col min="14857" max="14858" width="17.7109375" style="18" customWidth="1"/>
    <col min="14859" max="14859" width="25.7109375" style="18" customWidth="1"/>
    <col min="14860" max="14865" width="0" style="18" hidden="1" customWidth="1"/>
    <col min="14866" max="15106" width="9.140625" style="18"/>
    <col min="15107" max="15107" width="25" style="18" customWidth="1"/>
    <col min="15108" max="15108" width="35.28515625" style="18" customWidth="1"/>
    <col min="15109" max="15109" width="15.5703125" style="18" customWidth="1"/>
    <col min="15110" max="15110" width="12.7109375" style="18" customWidth="1"/>
    <col min="15111" max="15111" width="17.7109375" style="18" customWidth="1"/>
    <col min="15112" max="15112" width="10.7109375" style="18" customWidth="1"/>
    <col min="15113" max="15114" width="17.7109375" style="18" customWidth="1"/>
    <col min="15115" max="15115" width="25.7109375" style="18" customWidth="1"/>
    <col min="15116" max="15121" width="0" style="18" hidden="1" customWidth="1"/>
    <col min="15122" max="15362" width="9.140625" style="18"/>
    <col min="15363" max="15363" width="25" style="18" customWidth="1"/>
    <col min="15364" max="15364" width="35.28515625" style="18" customWidth="1"/>
    <col min="15365" max="15365" width="15.5703125" style="18" customWidth="1"/>
    <col min="15366" max="15366" width="12.7109375" style="18" customWidth="1"/>
    <col min="15367" max="15367" width="17.7109375" style="18" customWidth="1"/>
    <col min="15368" max="15368" width="10.7109375" style="18" customWidth="1"/>
    <col min="15369" max="15370" width="17.7109375" style="18" customWidth="1"/>
    <col min="15371" max="15371" width="25.7109375" style="18" customWidth="1"/>
    <col min="15372" max="15377" width="0" style="18" hidden="1" customWidth="1"/>
    <col min="15378" max="15618" width="9.140625" style="18"/>
    <col min="15619" max="15619" width="25" style="18" customWidth="1"/>
    <col min="15620" max="15620" width="35.28515625" style="18" customWidth="1"/>
    <col min="15621" max="15621" width="15.5703125" style="18" customWidth="1"/>
    <col min="15622" max="15622" width="12.7109375" style="18" customWidth="1"/>
    <col min="15623" max="15623" width="17.7109375" style="18" customWidth="1"/>
    <col min="15624" max="15624" width="10.7109375" style="18" customWidth="1"/>
    <col min="15625" max="15626" width="17.7109375" style="18" customWidth="1"/>
    <col min="15627" max="15627" width="25.7109375" style="18" customWidth="1"/>
    <col min="15628" max="15633" width="0" style="18" hidden="1" customWidth="1"/>
    <col min="15634" max="15874" width="9.140625" style="18"/>
    <col min="15875" max="15875" width="25" style="18" customWidth="1"/>
    <col min="15876" max="15876" width="35.28515625" style="18" customWidth="1"/>
    <col min="15877" max="15877" width="15.5703125" style="18" customWidth="1"/>
    <col min="15878" max="15878" width="12.7109375" style="18" customWidth="1"/>
    <col min="15879" max="15879" width="17.7109375" style="18" customWidth="1"/>
    <col min="15880" max="15880" width="10.7109375" style="18" customWidth="1"/>
    <col min="15881" max="15882" width="17.7109375" style="18" customWidth="1"/>
    <col min="15883" max="15883" width="25.7109375" style="18" customWidth="1"/>
    <col min="15884" max="15889" width="0" style="18" hidden="1" customWidth="1"/>
    <col min="15890" max="16130" width="9.140625" style="18"/>
    <col min="16131" max="16131" width="25" style="18" customWidth="1"/>
    <col min="16132" max="16132" width="35.28515625" style="18" customWidth="1"/>
    <col min="16133" max="16133" width="15.5703125" style="18" customWidth="1"/>
    <col min="16134" max="16134" width="12.7109375" style="18" customWidth="1"/>
    <col min="16135" max="16135" width="17.7109375" style="18" customWidth="1"/>
    <col min="16136" max="16136" width="10.7109375" style="18" customWidth="1"/>
    <col min="16137" max="16138" width="17.7109375" style="18" customWidth="1"/>
    <col min="16139" max="16139" width="25.7109375" style="18" customWidth="1"/>
    <col min="16140" max="16145" width="0" style="18" hidden="1" customWidth="1"/>
    <col min="16146" max="16384" width="9.140625" style="18"/>
  </cols>
  <sheetData>
    <row r="1" spans="1:23" ht="15.75" x14ac:dyDescent="0.25">
      <c r="B1" s="19"/>
      <c r="C1" s="19"/>
      <c r="D1" s="19"/>
      <c r="E1" s="19"/>
      <c r="F1" s="193"/>
      <c r="G1" s="19"/>
      <c r="J1" s="276"/>
      <c r="K1" s="277"/>
      <c r="L1" s="82" t="s">
        <v>322</v>
      </c>
      <c r="M1" s="20" t="s">
        <v>0</v>
      </c>
      <c r="N1" s="21" t="s">
        <v>1</v>
      </c>
      <c r="O1" s="20" t="s">
        <v>2</v>
      </c>
      <c r="P1" s="21" t="s">
        <v>3</v>
      </c>
      <c r="Q1" s="21" t="s">
        <v>4</v>
      </c>
      <c r="R1" s="21" t="s">
        <v>5</v>
      </c>
      <c r="S1" s="21"/>
    </row>
    <row r="2" spans="1:23" ht="15.75" x14ac:dyDescent="0.25">
      <c r="B2" s="22"/>
      <c r="C2" s="22"/>
      <c r="D2" s="22"/>
      <c r="E2" s="22"/>
      <c r="F2" s="22"/>
      <c r="G2" s="22"/>
      <c r="H2" s="22"/>
      <c r="I2" s="22"/>
      <c r="J2" s="22"/>
      <c r="K2" s="22"/>
      <c r="L2" s="83" t="s">
        <v>323</v>
      </c>
      <c r="M2" s="20" t="s">
        <v>6</v>
      </c>
      <c r="N2" s="21" t="s">
        <v>7</v>
      </c>
      <c r="O2" s="20"/>
      <c r="P2" s="21" t="s">
        <v>8</v>
      </c>
      <c r="Q2" s="21" t="s">
        <v>9</v>
      </c>
      <c r="R2" s="21" t="s">
        <v>10</v>
      </c>
      <c r="S2" s="21"/>
    </row>
    <row r="3" spans="1:23" ht="31.5" customHeight="1" x14ac:dyDescent="0.25">
      <c r="B3" s="278" t="s">
        <v>349</v>
      </c>
      <c r="C3" s="278"/>
      <c r="D3" s="278"/>
      <c r="E3" s="278"/>
      <c r="F3" s="278"/>
      <c r="G3" s="278"/>
      <c r="H3" s="278"/>
      <c r="I3" s="278"/>
      <c r="J3" s="278"/>
      <c r="K3" s="278"/>
      <c r="L3" s="278"/>
      <c r="M3" s="20" t="s">
        <v>11</v>
      </c>
      <c r="N3" s="21" t="s">
        <v>12</v>
      </c>
      <c r="O3" s="21"/>
      <c r="P3" s="21" t="s">
        <v>13</v>
      </c>
      <c r="Q3" s="21" t="s">
        <v>9</v>
      </c>
      <c r="R3" s="21" t="s">
        <v>14</v>
      </c>
      <c r="S3" s="21"/>
    </row>
    <row r="4" spans="1:23" ht="15.75" thickBot="1" x14ac:dyDescent="0.3">
      <c r="B4" s="22"/>
      <c r="C4" s="22"/>
      <c r="D4" s="22"/>
      <c r="E4" s="22"/>
      <c r="F4" s="22"/>
      <c r="G4" s="279"/>
      <c r="H4" s="279"/>
      <c r="I4" s="22"/>
      <c r="J4" s="22"/>
      <c r="K4" s="22"/>
      <c r="L4" s="22"/>
      <c r="M4" s="20" t="s">
        <v>15</v>
      </c>
      <c r="N4" s="21" t="s">
        <v>16</v>
      </c>
      <c r="O4" s="21" t="s">
        <v>17</v>
      </c>
      <c r="P4" s="21" t="s">
        <v>18</v>
      </c>
      <c r="Q4" s="21" t="s">
        <v>19</v>
      </c>
      <c r="R4" s="21" t="s">
        <v>20</v>
      </c>
      <c r="S4" s="21"/>
    </row>
    <row r="5" spans="1:23" ht="21" customHeight="1" x14ac:dyDescent="0.25">
      <c r="A5" s="274" t="s">
        <v>331</v>
      </c>
      <c r="B5" s="280" t="s">
        <v>324</v>
      </c>
      <c r="C5" s="280"/>
      <c r="D5" s="281" t="s">
        <v>60</v>
      </c>
      <c r="E5" s="281" t="s">
        <v>352</v>
      </c>
      <c r="F5" s="281"/>
      <c r="G5" s="280" t="s">
        <v>351</v>
      </c>
      <c r="H5" s="280"/>
      <c r="I5" s="280" t="s">
        <v>353</v>
      </c>
      <c r="J5" s="280"/>
      <c r="K5" s="280"/>
      <c r="L5" s="283"/>
      <c r="M5" s="20" t="s">
        <v>21</v>
      </c>
      <c r="N5" s="21" t="s">
        <v>22</v>
      </c>
      <c r="O5" s="21" t="s">
        <v>23</v>
      </c>
      <c r="P5" s="21" t="s">
        <v>24</v>
      </c>
      <c r="Q5" s="21" t="s">
        <v>25</v>
      </c>
      <c r="R5" s="21" t="s">
        <v>26</v>
      </c>
      <c r="S5" s="21"/>
    </row>
    <row r="6" spans="1:23" ht="51.75" customHeight="1" x14ac:dyDescent="0.25">
      <c r="A6" s="275"/>
      <c r="B6" s="164" t="s">
        <v>332</v>
      </c>
      <c r="C6" s="164" t="s">
        <v>59</v>
      </c>
      <c r="D6" s="282"/>
      <c r="E6" s="23" t="s">
        <v>350</v>
      </c>
      <c r="F6" s="84" t="s">
        <v>27</v>
      </c>
      <c r="G6" s="23" t="s">
        <v>350</v>
      </c>
      <c r="H6" s="84" t="s">
        <v>27</v>
      </c>
      <c r="I6" s="23" t="s">
        <v>350</v>
      </c>
      <c r="J6" s="84" t="s">
        <v>347</v>
      </c>
      <c r="K6" s="164" t="s">
        <v>81</v>
      </c>
      <c r="L6" s="156" t="s">
        <v>80</v>
      </c>
      <c r="M6" s="20"/>
      <c r="N6" s="21" t="s">
        <v>28</v>
      </c>
      <c r="O6" s="21"/>
      <c r="P6" s="21" t="s">
        <v>29</v>
      </c>
      <c r="Q6" s="20" t="s">
        <v>30</v>
      </c>
      <c r="R6" s="21" t="s">
        <v>31</v>
      </c>
      <c r="S6" s="21"/>
    </row>
    <row r="7" spans="1:23" ht="15.75" thickBot="1" x14ac:dyDescent="0.3">
      <c r="A7" s="157">
        <v>1</v>
      </c>
      <c r="B7" s="81">
        <v>2</v>
      </c>
      <c r="C7" s="81">
        <v>3</v>
      </c>
      <c r="D7" s="81">
        <v>4</v>
      </c>
      <c r="E7" s="81">
        <v>5</v>
      </c>
      <c r="F7" s="81">
        <v>6</v>
      </c>
      <c r="G7" s="81">
        <v>7</v>
      </c>
      <c r="H7" s="81">
        <v>8</v>
      </c>
      <c r="I7" s="81">
        <v>9</v>
      </c>
      <c r="J7" s="81">
        <v>10</v>
      </c>
      <c r="K7" s="81">
        <v>11</v>
      </c>
      <c r="L7" s="81">
        <v>12</v>
      </c>
      <c r="M7" s="20"/>
      <c r="N7" s="21" t="s">
        <v>32</v>
      </c>
      <c r="O7" s="21"/>
      <c r="P7" s="21" t="s">
        <v>33</v>
      </c>
      <c r="Q7" s="21"/>
      <c r="R7" s="21" t="s">
        <v>34</v>
      </c>
      <c r="S7" s="21"/>
    </row>
    <row r="8" spans="1:23" ht="33" customHeight="1" thickBot="1" x14ac:dyDescent="0.3">
      <c r="A8" s="7" t="s">
        <v>63</v>
      </c>
      <c r="B8" s="7" t="s">
        <v>63</v>
      </c>
      <c r="C8" s="8" t="s">
        <v>62</v>
      </c>
      <c r="D8" s="87" t="s">
        <v>63</v>
      </c>
      <c r="E8" s="238" t="s">
        <v>63</v>
      </c>
      <c r="F8" s="239">
        <f>F9+F94+F156</f>
        <v>2651720230</v>
      </c>
      <c r="G8" s="141" t="s">
        <v>63</v>
      </c>
      <c r="H8" s="103">
        <f>SUM(H9+H94+H121+H156)</f>
        <v>2706035264.823369</v>
      </c>
      <c r="I8" s="150" t="s">
        <v>63</v>
      </c>
      <c r="J8" s="103">
        <f>SUM(J9+J94+J121+J156)</f>
        <v>2646317630.9491296</v>
      </c>
      <c r="K8" s="141" t="s">
        <v>63</v>
      </c>
      <c r="L8" s="158" t="s">
        <v>63</v>
      </c>
      <c r="M8" s="20"/>
      <c r="N8" s="21"/>
      <c r="O8" s="21"/>
      <c r="P8" s="21"/>
      <c r="Q8" s="21"/>
      <c r="R8" s="21"/>
      <c r="S8" s="21"/>
      <c r="T8" s="195"/>
      <c r="V8" s="195"/>
      <c r="W8" s="24"/>
    </row>
    <row r="9" spans="1:23" ht="33" customHeight="1" thickBot="1" x14ac:dyDescent="0.3">
      <c r="A9" s="270" t="s">
        <v>61</v>
      </c>
      <c r="B9" s="30" t="s">
        <v>63</v>
      </c>
      <c r="C9" s="31" t="s">
        <v>75</v>
      </c>
      <c r="D9" s="88" t="s">
        <v>63</v>
      </c>
      <c r="E9" s="3" t="s">
        <v>63</v>
      </c>
      <c r="F9" s="105">
        <f>SUM(F10+F11+F12+F20+F21+F22+F23+F24+F25+F26+F27+F28+F29+F30+F31+F32+F33+F34+F90+F35+F36+F37+F38+F39+F40+F41+F42+F43+F44+F45+F46+F47+F48+F49+F50+F51+F52+F53+F54+F55+F56+F57+F58+F59+F60+F61+F63+F62+F64+F65+F66+F67+F68+F69+F70+F71+F72+F73+F74+F75+F76+F77+F78+F79+F80+F81+F82+F83+F84+F85+F86+F87+F88+F89)</f>
        <v>2383738300</v>
      </c>
      <c r="G9" s="104" t="s">
        <v>63</v>
      </c>
      <c r="H9" s="105">
        <f>SUM(H10+H11+H12+H20+H21+H22+H23+H24+H25+H26+H27+H28+H29+H30+H31+H32+H33+H34+H90+H35+H36+H37+H38+H39+H40+H41+H42+H43+H44+H45+H46+H47+H48+H49+H50+H51+H52+H53+H54+H55+H56+H57+H58+H59+H60+H61+H63+H62+H64+H65+H66+H67+H68+H69+H70+H71+H72+H73+H74+H75+H76+H77+H78+H79+H80+H81+H82+H83+H84+H85+H86+H87+H88+H89)</f>
        <v>2376072832.5499992</v>
      </c>
      <c r="I9" s="151" t="s">
        <v>63</v>
      </c>
      <c r="J9" s="105">
        <f>SUM(J10+J11+J12+J20+J21+J22+J23+J24+J25+J26+J27+J28+J29+J30+J31+J32+J33+J34+J90+J35+J36+J37+J38+J39+J40+J41+J42+J43+J44+J45+J46+J47+J48+J49+J50+J51+J52+J53+J54+J55+J56+J57+J58+J59+J60+J61+J63+J62+J64+J65+J66+J67+J68+J69+J70+J71+J72+J73+J74+J75+J76+J77+J78+J79+J80+J81+J82+J83+J84+J85+J86+J87+J88+J89)</f>
        <v>2319735573.579999</v>
      </c>
      <c r="K9" s="142" t="s">
        <v>63</v>
      </c>
      <c r="L9" s="159" t="s">
        <v>63</v>
      </c>
      <c r="M9" s="20"/>
      <c r="N9" s="21"/>
      <c r="O9" s="21"/>
      <c r="P9" s="21"/>
      <c r="Q9" s="21"/>
      <c r="R9" s="21"/>
      <c r="S9" s="21"/>
      <c r="T9" s="195"/>
      <c r="V9" s="195"/>
    </row>
    <row r="10" spans="1:23" ht="50.25" customHeight="1" x14ac:dyDescent="0.25">
      <c r="A10" s="264"/>
      <c r="B10" s="271" t="s">
        <v>319</v>
      </c>
      <c r="C10" s="272" t="s">
        <v>37</v>
      </c>
      <c r="D10" s="89" t="s">
        <v>77</v>
      </c>
      <c r="E10" s="209">
        <v>140623.55999999997</v>
      </c>
      <c r="F10" s="208">
        <v>2698170</v>
      </c>
      <c r="G10" s="174">
        <f>SUM(G14+G18)</f>
        <v>140175</v>
      </c>
      <c r="H10" s="107">
        <f t="shared" ref="H10:J10" si="0">SUM(H14+H18)</f>
        <v>2689562.8699999996</v>
      </c>
      <c r="I10" s="106">
        <f t="shared" si="0"/>
        <v>142808</v>
      </c>
      <c r="J10" s="107">
        <f t="shared" si="0"/>
        <v>2650041.06</v>
      </c>
      <c r="K10" s="143">
        <f t="shared" ref="K10:K71" si="1">I10-G10</f>
        <v>2633</v>
      </c>
      <c r="L10" s="256" t="s">
        <v>320</v>
      </c>
      <c r="M10" s="20"/>
      <c r="N10" s="21"/>
      <c r="O10" s="21"/>
      <c r="P10" s="21"/>
      <c r="Q10" s="21"/>
      <c r="R10" s="21"/>
      <c r="S10" s="21"/>
      <c r="T10" s="202"/>
      <c r="U10" s="203"/>
    </row>
    <row r="11" spans="1:23" ht="41.25" customHeight="1" x14ac:dyDescent="0.25">
      <c r="A11" s="264"/>
      <c r="B11" s="271"/>
      <c r="C11" s="273"/>
      <c r="D11" s="90" t="s">
        <v>78</v>
      </c>
      <c r="E11" s="209">
        <v>9883.5263999999988</v>
      </c>
      <c r="F11" s="208">
        <v>912380</v>
      </c>
      <c r="G11" s="175">
        <f>SUM(G15+G17)</f>
        <v>9852</v>
      </c>
      <c r="H11" s="33">
        <f t="shared" ref="H11:J11" si="2">SUM(H15+H17)</f>
        <v>909470.17999999993</v>
      </c>
      <c r="I11" s="108">
        <f t="shared" si="2"/>
        <v>9873</v>
      </c>
      <c r="J11" s="33">
        <f t="shared" si="2"/>
        <v>894490.98</v>
      </c>
      <c r="K11" s="143">
        <f t="shared" si="1"/>
        <v>21</v>
      </c>
      <c r="L11" s="257"/>
      <c r="M11" s="20"/>
      <c r="N11" s="21"/>
      <c r="O11" s="21"/>
      <c r="P11" s="21"/>
      <c r="Q11" s="21"/>
      <c r="R11" s="21"/>
      <c r="S11" s="21"/>
      <c r="T11" s="202"/>
      <c r="U11" s="203"/>
    </row>
    <row r="12" spans="1:23" ht="33" customHeight="1" x14ac:dyDescent="0.25">
      <c r="A12" s="264"/>
      <c r="B12" s="271"/>
      <c r="C12" s="273"/>
      <c r="D12" s="90" t="s">
        <v>79</v>
      </c>
      <c r="E12" s="209">
        <v>32413.391999999996</v>
      </c>
      <c r="F12" s="208">
        <v>18563449</v>
      </c>
      <c r="G12" s="175">
        <f>SUM(G16+G19)</f>
        <v>32310</v>
      </c>
      <c r="H12" s="33">
        <f>SUM(H13+H16+H19)</f>
        <v>18504235.799999997</v>
      </c>
      <c r="I12" s="108">
        <f t="shared" ref="I12" si="3">SUM(I16+I19)</f>
        <v>32310</v>
      </c>
      <c r="J12" s="33">
        <f>SUM(J13+J16+J19)</f>
        <v>18457452.299999997</v>
      </c>
      <c r="K12" s="143">
        <f t="shared" si="1"/>
        <v>0</v>
      </c>
      <c r="L12" s="52"/>
      <c r="M12" s="20"/>
      <c r="N12" s="21"/>
      <c r="O12" s="21"/>
      <c r="P12" s="21"/>
      <c r="Q12" s="21"/>
      <c r="R12" s="21"/>
      <c r="S12" s="21"/>
      <c r="T12" s="202"/>
      <c r="U12" s="203"/>
    </row>
    <row r="13" spans="1:23" ht="26.25" hidden="1" outlineLevel="1" x14ac:dyDescent="0.25">
      <c r="A13" s="264"/>
      <c r="B13" s="71" t="s">
        <v>100</v>
      </c>
      <c r="C13" s="70" t="s">
        <v>255</v>
      </c>
      <c r="D13" s="91" t="s">
        <v>79</v>
      </c>
      <c r="E13" s="210">
        <v>2202.0239999999999</v>
      </c>
      <c r="F13" s="204">
        <v>17652643.011167996</v>
      </c>
      <c r="G13" s="176">
        <v>2195</v>
      </c>
      <c r="H13" s="110">
        <f>13702286.12+928919.48+2965129.14</f>
        <v>17596334.739999998</v>
      </c>
      <c r="I13" s="109">
        <v>2195</v>
      </c>
      <c r="J13" s="110">
        <f>13702286.12+2965129.14+901047.01</f>
        <v>17568462.27</v>
      </c>
      <c r="K13" s="143">
        <f t="shared" si="1"/>
        <v>0</v>
      </c>
      <c r="L13" s="53"/>
      <c r="M13" s="20"/>
      <c r="N13" s="21"/>
      <c r="O13" s="21"/>
      <c r="P13" s="21"/>
      <c r="Q13" s="21"/>
      <c r="R13" s="21"/>
      <c r="S13" s="56"/>
      <c r="T13" s="202"/>
      <c r="U13" s="203"/>
    </row>
    <row r="14" spans="1:23" ht="105" hidden="1" customHeight="1" outlineLevel="1" x14ac:dyDescent="0.25">
      <c r="A14" s="264"/>
      <c r="B14" s="258" t="s">
        <v>319</v>
      </c>
      <c r="C14" s="259" t="s">
        <v>195</v>
      </c>
      <c r="D14" s="92" t="s">
        <v>77</v>
      </c>
      <c r="E14" s="210">
        <v>139043.51999999999</v>
      </c>
      <c r="F14" s="204">
        <v>2607881.4711839994</v>
      </c>
      <c r="G14" s="177">
        <f>131670+6930</f>
        <v>138600</v>
      </c>
      <c r="H14" s="112">
        <f>412109.28+2187472.36-18.77</f>
        <v>2599562.8699999996</v>
      </c>
      <c r="I14" s="111">
        <f>134303+6930</f>
        <v>141233</v>
      </c>
      <c r="J14" s="112">
        <f>397326.69+2162701.87+12.5</f>
        <v>2560041.06</v>
      </c>
      <c r="K14" s="143">
        <f t="shared" si="1"/>
        <v>2633</v>
      </c>
      <c r="L14" s="254" t="s">
        <v>321</v>
      </c>
      <c r="M14" s="20"/>
      <c r="N14" s="21"/>
      <c r="O14" s="21"/>
      <c r="P14" s="21"/>
      <c r="Q14" s="21"/>
      <c r="R14" s="21"/>
      <c r="S14" s="56"/>
      <c r="T14" s="202"/>
      <c r="U14" s="203"/>
    </row>
    <row r="15" spans="1:23" ht="20.25" hidden="1" customHeight="1" outlineLevel="1" x14ac:dyDescent="0.25">
      <c r="A15" s="264"/>
      <c r="B15" s="258"/>
      <c r="C15" s="259"/>
      <c r="D15" s="93" t="s">
        <v>78</v>
      </c>
      <c r="E15" s="210">
        <v>1374.3839999999998</v>
      </c>
      <c r="F15" s="204">
        <v>430844.48457599996</v>
      </c>
      <c r="G15" s="177">
        <f>1315+55</f>
        <v>1370</v>
      </c>
      <c r="H15" s="113">
        <f>412109.29+17360.89</f>
        <v>429470.18</v>
      </c>
      <c r="I15" s="111">
        <f>1340+55</f>
        <v>1395</v>
      </c>
      <c r="J15" s="113">
        <f>397326.68+17164.3</f>
        <v>414490.98</v>
      </c>
      <c r="K15" s="143">
        <f t="shared" si="1"/>
        <v>25</v>
      </c>
      <c r="L15" s="255"/>
      <c r="M15" s="20"/>
      <c r="N15" s="21"/>
      <c r="O15" s="21"/>
      <c r="P15" s="21"/>
      <c r="Q15" s="21"/>
      <c r="R15" s="21"/>
      <c r="S15" s="56"/>
      <c r="T15" s="202"/>
      <c r="U15" s="203"/>
    </row>
    <row r="16" spans="1:23" hidden="1" outlineLevel="1" x14ac:dyDescent="0.25">
      <c r="A16" s="264"/>
      <c r="B16" s="258"/>
      <c r="C16" s="259"/>
      <c r="D16" s="93" t="s">
        <v>79</v>
      </c>
      <c r="E16" s="210">
        <v>32338.151999999995</v>
      </c>
      <c r="F16" s="204">
        <v>779173.42166399991</v>
      </c>
      <c r="G16" s="177">
        <f>31080+1155</f>
        <v>32235</v>
      </c>
      <c r="H16" s="113">
        <f>412109.29+364578.73</f>
        <v>776688.02</v>
      </c>
      <c r="I16" s="111">
        <f>31080+1155</f>
        <v>32235</v>
      </c>
      <c r="J16" s="113">
        <f>397326.68+360450.31</f>
        <v>757776.99</v>
      </c>
      <c r="K16" s="143">
        <f t="shared" si="1"/>
        <v>0</v>
      </c>
      <c r="L16" s="32"/>
      <c r="M16" s="20"/>
      <c r="N16" s="21"/>
      <c r="O16" s="21"/>
      <c r="P16" s="21"/>
      <c r="Q16" s="21"/>
      <c r="R16" s="21"/>
      <c r="S16" s="56"/>
      <c r="T16" s="202"/>
      <c r="U16" s="203"/>
    </row>
    <row r="17" spans="1:21" ht="51" hidden="1" outlineLevel="1" x14ac:dyDescent="0.25">
      <c r="A17" s="264"/>
      <c r="B17" s="59" t="s">
        <v>100</v>
      </c>
      <c r="C17" s="15" t="s">
        <v>196</v>
      </c>
      <c r="D17" s="94" t="s">
        <v>78</v>
      </c>
      <c r="E17" s="210">
        <v>8509.1423999999988</v>
      </c>
      <c r="F17" s="204">
        <v>481535.99999999994</v>
      </c>
      <c r="G17" s="178">
        <v>8482</v>
      </c>
      <c r="H17" s="115">
        <v>480000</v>
      </c>
      <c r="I17" s="114">
        <v>8478</v>
      </c>
      <c r="J17" s="115">
        <v>480000</v>
      </c>
      <c r="K17" s="143">
        <f t="shared" si="1"/>
        <v>-4</v>
      </c>
      <c r="L17" s="16" t="s">
        <v>135</v>
      </c>
      <c r="M17" s="20"/>
      <c r="N17" s="21"/>
      <c r="O17" s="21"/>
      <c r="P17" s="21"/>
      <c r="Q17" s="21"/>
      <c r="R17" s="21"/>
      <c r="S17" s="21"/>
      <c r="T17" s="202"/>
      <c r="U17" s="203"/>
    </row>
    <row r="18" spans="1:21" hidden="1" outlineLevel="1" x14ac:dyDescent="0.25">
      <c r="A18" s="264"/>
      <c r="B18" s="59" t="s">
        <v>100</v>
      </c>
      <c r="C18" s="15" t="s">
        <v>196</v>
      </c>
      <c r="D18" s="94" t="s">
        <v>77</v>
      </c>
      <c r="E18" s="210">
        <v>1580.0399999999997</v>
      </c>
      <c r="F18" s="204">
        <v>90287.999999999985</v>
      </c>
      <c r="G18" s="179">
        <v>1575</v>
      </c>
      <c r="H18" s="115">
        <v>90000</v>
      </c>
      <c r="I18" s="116">
        <v>1575</v>
      </c>
      <c r="J18" s="115">
        <v>90000</v>
      </c>
      <c r="K18" s="143">
        <f t="shared" si="1"/>
        <v>0</v>
      </c>
      <c r="L18" s="16"/>
      <c r="M18" s="20"/>
      <c r="N18" s="21"/>
      <c r="O18" s="21"/>
      <c r="P18" s="21"/>
      <c r="Q18" s="21"/>
      <c r="R18" s="21"/>
      <c r="S18" s="21"/>
      <c r="T18" s="202"/>
      <c r="U18" s="203"/>
    </row>
    <row r="19" spans="1:21" hidden="1" outlineLevel="1" x14ac:dyDescent="0.25">
      <c r="A19" s="264"/>
      <c r="B19" s="59" t="s">
        <v>100</v>
      </c>
      <c r="C19" s="15" t="s">
        <v>196</v>
      </c>
      <c r="D19" s="94" t="s">
        <v>79</v>
      </c>
      <c r="E19" s="210">
        <v>75.239999999999995</v>
      </c>
      <c r="F19" s="204">
        <v>131632.92172799999</v>
      </c>
      <c r="G19" s="178">
        <v>75</v>
      </c>
      <c r="H19" s="115">
        <v>131213.04</v>
      </c>
      <c r="I19" s="114">
        <v>75</v>
      </c>
      <c r="J19" s="115">
        <v>131213.04</v>
      </c>
      <c r="K19" s="143">
        <f t="shared" si="1"/>
        <v>0</v>
      </c>
      <c r="L19" s="16"/>
      <c r="M19" s="20"/>
      <c r="N19" s="21"/>
      <c r="O19" s="21"/>
      <c r="P19" s="21"/>
      <c r="Q19" s="21"/>
      <c r="R19" s="21"/>
      <c r="S19" s="21"/>
      <c r="T19" s="202"/>
      <c r="U19" s="203"/>
    </row>
    <row r="20" spans="1:21" collapsed="1" x14ac:dyDescent="0.25">
      <c r="A20" s="264"/>
      <c r="B20" s="162" t="s">
        <v>82</v>
      </c>
      <c r="C20" s="1" t="s">
        <v>83</v>
      </c>
      <c r="D20" s="95" t="s">
        <v>77</v>
      </c>
      <c r="E20" s="205">
        <v>46887.049967999992</v>
      </c>
      <c r="F20" s="205">
        <v>22930823</v>
      </c>
      <c r="G20" s="180">
        <v>46737.49</v>
      </c>
      <c r="H20" s="33">
        <v>22795843.07</v>
      </c>
      <c r="I20" s="117">
        <v>46737.49</v>
      </c>
      <c r="J20" s="33">
        <v>22417619.559999999</v>
      </c>
      <c r="K20" s="143">
        <f t="shared" si="1"/>
        <v>0</v>
      </c>
      <c r="L20" s="33"/>
      <c r="M20" s="20"/>
      <c r="N20" s="21"/>
      <c r="O20" s="21"/>
      <c r="P20" s="21"/>
      <c r="Q20" s="21"/>
      <c r="R20" s="21"/>
      <c r="S20" s="21"/>
      <c r="T20" s="202"/>
      <c r="U20" s="203"/>
    </row>
    <row r="21" spans="1:21" ht="26.25" x14ac:dyDescent="0.25">
      <c r="A21" s="264"/>
      <c r="B21" s="162" t="s">
        <v>84</v>
      </c>
      <c r="C21" s="1" t="s">
        <v>85</v>
      </c>
      <c r="D21" s="95" t="s">
        <v>77</v>
      </c>
      <c r="E21" s="211">
        <v>189562.66559999998</v>
      </c>
      <c r="F21" s="205">
        <v>49045181</v>
      </c>
      <c r="G21" s="180">
        <v>188958</v>
      </c>
      <c r="H21" s="33">
        <v>48888698.799999997</v>
      </c>
      <c r="I21" s="117">
        <v>188958</v>
      </c>
      <c r="J21" s="33">
        <v>48345000.049999997</v>
      </c>
      <c r="K21" s="143">
        <f t="shared" si="1"/>
        <v>0</v>
      </c>
      <c r="L21" s="33"/>
      <c r="M21" s="20"/>
      <c r="N21" s="21"/>
      <c r="O21" s="21"/>
      <c r="P21" s="21"/>
      <c r="Q21" s="21"/>
      <c r="R21" s="21"/>
      <c r="S21" s="21"/>
      <c r="T21" s="202"/>
      <c r="U21" s="203"/>
    </row>
    <row r="22" spans="1:21" ht="26.25" x14ac:dyDescent="0.25">
      <c r="A22" s="264"/>
      <c r="B22" s="162" t="s">
        <v>86</v>
      </c>
      <c r="C22" s="1" t="s">
        <v>87</v>
      </c>
      <c r="D22" s="95" t="s">
        <v>77</v>
      </c>
      <c r="E22" s="211">
        <v>22183.370351999998</v>
      </c>
      <c r="F22" s="205">
        <v>7812605</v>
      </c>
      <c r="G22" s="180">
        <v>22112.61</v>
      </c>
      <c r="H22" s="33">
        <v>7787685.1100000003</v>
      </c>
      <c r="I22" s="117">
        <v>22112.61</v>
      </c>
      <c r="J22" s="33">
        <v>7663731.1600000001</v>
      </c>
      <c r="K22" s="143">
        <f t="shared" si="1"/>
        <v>0</v>
      </c>
      <c r="L22" s="33"/>
      <c r="M22" s="20"/>
      <c r="N22" s="21"/>
      <c r="O22" s="21"/>
      <c r="P22" s="21"/>
      <c r="Q22" s="21"/>
      <c r="R22" s="21"/>
      <c r="S22" s="21"/>
      <c r="T22" s="202"/>
      <c r="U22" s="203"/>
    </row>
    <row r="23" spans="1:21" ht="25.5" x14ac:dyDescent="0.25">
      <c r="A23" s="264"/>
      <c r="B23" s="60" t="s">
        <v>88</v>
      </c>
      <c r="C23" s="9" t="s">
        <v>89</v>
      </c>
      <c r="D23" s="96" t="s">
        <v>77</v>
      </c>
      <c r="E23" s="212">
        <v>29701.290959999995</v>
      </c>
      <c r="F23" s="206">
        <v>9879485</v>
      </c>
      <c r="G23" s="181">
        <f>3123.55+26483</f>
        <v>29606.55</v>
      </c>
      <c r="H23" s="119">
        <f>2635619.74+7212352.06</f>
        <v>9847971.8000000007</v>
      </c>
      <c r="I23" s="118">
        <f>3123.55+26483</f>
        <v>29606.55</v>
      </c>
      <c r="J23" s="119">
        <f>2587531.68+7106007.42</f>
        <v>9693539.0999999996</v>
      </c>
      <c r="K23" s="143">
        <f t="shared" si="1"/>
        <v>0</v>
      </c>
      <c r="L23" s="33"/>
      <c r="M23" s="20"/>
      <c r="N23" s="21"/>
      <c r="O23" s="21"/>
      <c r="P23" s="21"/>
      <c r="Q23" s="21"/>
      <c r="R23" s="21"/>
      <c r="S23" s="21"/>
      <c r="T23" s="202"/>
      <c r="U23" s="203"/>
    </row>
    <row r="24" spans="1:21" ht="38.25" x14ac:dyDescent="0.25">
      <c r="A24" s="264"/>
      <c r="B24" s="60" t="s">
        <v>90</v>
      </c>
      <c r="C24" s="9" t="s">
        <v>91</v>
      </c>
      <c r="D24" s="96" t="s">
        <v>77</v>
      </c>
      <c r="E24" s="212">
        <v>133670.28047999999</v>
      </c>
      <c r="F24" s="206">
        <v>44671402</v>
      </c>
      <c r="G24" s="181">
        <f>14421.9+118822</f>
        <v>133243.9</v>
      </c>
      <c r="H24" s="119">
        <f>12169052.63+32359857.18</f>
        <v>44528909.810000002</v>
      </c>
      <c r="I24" s="118">
        <f>14421.9+118822</f>
        <v>133243.9</v>
      </c>
      <c r="J24" s="119">
        <f>11947022.84+31882717.72</f>
        <v>43829740.560000002</v>
      </c>
      <c r="K24" s="143">
        <f t="shared" si="1"/>
        <v>0</v>
      </c>
      <c r="L24" s="34"/>
      <c r="M24" s="20"/>
      <c r="N24" s="21"/>
      <c r="O24" s="21"/>
      <c r="P24" s="21"/>
      <c r="Q24" s="21"/>
      <c r="R24" s="21"/>
      <c r="S24" s="21"/>
      <c r="T24" s="202"/>
      <c r="U24" s="203"/>
    </row>
    <row r="25" spans="1:21" ht="25.5" x14ac:dyDescent="0.25">
      <c r="A25" s="264"/>
      <c r="B25" s="60" t="s">
        <v>92</v>
      </c>
      <c r="C25" s="9" t="s">
        <v>93</v>
      </c>
      <c r="D25" s="96" t="s">
        <v>77</v>
      </c>
      <c r="E25" s="212">
        <v>50496.653855999997</v>
      </c>
      <c r="F25" s="206">
        <v>18398968</v>
      </c>
      <c r="G25" s="181">
        <f>8105.58+42230</f>
        <v>50335.58</v>
      </c>
      <c r="H25" s="119">
        <f>6839406.01+11500873.31</f>
        <v>18340279.32</v>
      </c>
      <c r="I25" s="118">
        <f>8105.58+42230</f>
        <v>50335.58</v>
      </c>
      <c r="J25" s="119">
        <f>6714618+11331295.29</f>
        <v>18045913.289999999</v>
      </c>
      <c r="K25" s="143">
        <f t="shared" si="1"/>
        <v>0</v>
      </c>
      <c r="L25" s="34"/>
      <c r="M25" s="20"/>
      <c r="N25" s="21"/>
      <c r="O25" s="21"/>
      <c r="P25" s="21"/>
      <c r="Q25" s="21"/>
      <c r="R25" s="21"/>
      <c r="S25" s="21"/>
      <c r="T25" s="202"/>
      <c r="U25" s="203"/>
    </row>
    <row r="26" spans="1:21" ht="38.25" x14ac:dyDescent="0.25">
      <c r="A26" s="264"/>
      <c r="B26" s="60" t="s">
        <v>94</v>
      </c>
      <c r="C26" s="9" t="s">
        <v>95</v>
      </c>
      <c r="D26" s="96" t="s">
        <v>77</v>
      </c>
      <c r="E26" s="212">
        <v>1264.0319999999999</v>
      </c>
      <c r="F26" s="206">
        <v>344245</v>
      </c>
      <c r="G26" s="181">
        <v>1260</v>
      </c>
      <c r="H26" s="119">
        <v>343147.06</v>
      </c>
      <c r="I26" s="118">
        <v>1260</v>
      </c>
      <c r="J26" s="119">
        <v>338087.43</v>
      </c>
      <c r="K26" s="143">
        <f t="shared" si="1"/>
        <v>0</v>
      </c>
      <c r="L26" s="34"/>
      <c r="M26" s="20"/>
      <c r="N26" s="21"/>
      <c r="O26" s="21"/>
      <c r="P26" s="21"/>
      <c r="Q26" s="21"/>
      <c r="R26" s="21"/>
      <c r="S26" s="21"/>
      <c r="T26" s="202"/>
      <c r="U26" s="203"/>
    </row>
    <row r="27" spans="1:21" ht="25.5" x14ac:dyDescent="0.25">
      <c r="A27" s="264"/>
      <c r="B27" s="60" t="s">
        <v>96</v>
      </c>
      <c r="C27" s="9" t="s">
        <v>97</v>
      </c>
      <c r="D27" s="96" t="s">
        <v>77</v>
      </c>
      <c r="E27" s="212">
        <v>50740.441487999989</v>
      </c>
      <c r="F27" s="206">
        <v>18969279</v>
      </c>
      <c r="G27" s="181">
        <f>8984.59+41594</f>
        <v>50578.59</v>
      </c>
      <c r="H27" s="119">
        <f>7581105.72+11327665.74</f>
        <v>18908771.460000001</v>
      </c>
      <c r="I27" s="118">
        <f>8984.59+41594</f>
        <v>50578.59</v>
      </c>
      <c r="J27" s="119">
        <f>7442785.06+11160641.64</f>
        <v>18603426.699999999</v>
      </c>
      <c r="K27" s="143">
        <f t="shared" si="1"/>
        <v>0</v>
      </c>
      <c r="L27" s="34"/>
      <c r="M27" s="20"/>
      <c r="N27" s="21"/>
      <c r="O27" s="21"/>
      <c r="P27" s="21"/>
      <c r="Q27" s="21"/>
      <c r="R27" s="21"/>
      <c r="S27" s="21"/>
      <c r="T27" s="202"/>
      <c r="U27" s="203"/>
    </row>
    <row r="28" spans="1:21" ht="38.25" x14ac:dyDescent="0.25">
      <c r="A28" s="264"/>
      <c r="B28" s="60" t="s">
        <v>98</v>
      </c>
      <c r="C28" s="9" t="s">
        <v>99</v>
      </c>
      <c r="D28" s="96" t="s">
        <v>77</v>
      </c>
      <c r="E28" s="212">
        <v>4694.9759999999997</v>
      </c>
      <c r="F28" s="206">
        <v>977196</v>
      </c>
      <c r="G28" s="182">
        <v>4680</v>
      </c>
      <c r="H28" s="119">
        <v>974079.8</v>
      </c>
      <c r="I28" s="120">
        <v>4680</v>
      </c>
      <c r="J28" s="119">
        <v>967749.42</v>
      </c>
      <c r="K28" s="143">
        <f t="shared" si="1"/>
        <v>0</v>
      </c>
      <c r="L28" s="34"/>
      <c r="M28" s="20"/>
      <c r="N28" s="21"/>
      <c r="O28" s="21"/>
      <c r="P28" s="21"/>
      <c r="Q28" s="21"/>
      <c r="R28" s="21"/>
      <c r="S28" s="21"/>
      <c r="T28" s="202"/>
      <c r="U28" s="203"/>
    </row>
    <row r="29" spans="1:21" ht="26.25" x14ac:dyDescent="0.25">
      <c r="A29" s="264"/>
      <c r="B29" s="11" t="s">
        <v>136</v>
      </c>
      <c r="C29" s="57" t="s">
        <v>35</v>
      </c>
      <c r="D29" s="96" t="s">
        <v>77</v>
      </c>
      <c r="E29" s="212">
        <v>384183.46559999994</v>
      </c>
      <c r="F29" s="206">
        <v>51656850</v>
      </c>
      <c r="G29" s="183">
        <f>339098+43860</f>
        <v>382958</v>
      </c>
      <c r="H29" s="122">
        <f>37647554.18+13844522.06</f>
        <v>51492076.240000002</v>
      </c>
      <c r="I29" s="121">
        <f>339098+43860</f>
        <v>382958</v>
      </c>
      <c r="J29" s="122">
        <f>35289706.92+13687749.51</f>
        <v>48977456.43</v>
      </c>
      <c r="K29" s="143">
        <f t="shared" si="1"/>
        <v>0</v>
      </c>
      <c r="L29" s="53"/>
      <c r="M29" s="20"/>
      <c r="N29" s="21"/>
      <c r="O29" s="21"/>
      <c r="P29" s="21"/>
      <c r="Q29" s="21"/>
      <c r="R29" s="21"/>
      <c r="S29" s="72"/>
      <c r="T29" s="202"/>
      <c r="U29" s="203"/>
    </row>
    <row r="30" spans="1:21" ht="26.25" x14ac:dyDescent="0.25">
      <c r="A30" s="264"/>
      <c r="B30" s="12" t="s">
        <v>137</v>
      </c>
      <c r="C30" s="57" t="s">
        <v>36</v>
      </c>
      <c r="D30" s="96" t="s">
        <v>77</v>
      </c>
      <c r="E30" s="212">
        <v>267582.53279999999</v>
      </c>
      <c r="F30" s="206">
        <v>49524882</v>
      </c>
      <c r="G30" s="183">
        <f>170194+96535</f>
        <v>266729</v>
      </c>
      <c r="H30" s="122">
        <f>18895386.69+30471521.6</f>
        <v>49366908.290000007</v>
      </c>
      <c r="I30" s="121">
        <f>170194+96535</f>
        <v>266729</v>
      </c>
      <c r="J30" s="122">
        <f>17711978.18+30126468.28</f>
        <v>47838446.460000001</v>
      </c>
      <c r="K30" s="143">
        <f t="shared" si="1"/>
        <v>0</v>
      </c>
      <c r="L30" s="53"/>
      <c r="M30" s="20"/>
      <c r="N30" s="21"/>
      <c r="O30" s="21"/>
      <c r="P30" s="21"/>
      <c r="Q30" s="21"/>
      <c r="R30" s="21"/>
      <c r="S30" s="72"/>
      <c r="T30" s="202"/>
      <c r="U30" s="203"/>
    </row>
    <row r="31" spans="1:21" ht="26.25" x14ac:dyDescent="0.25">
      <c r="A31" s="264"/>
      <c r="B31" s="11" t="s">
        <v>138</v>
      </c>
      <c r="C31" s="57" t="s">
        <v>139</v>
      </c>
      <c r="D31" s="97" t="s">
        <v>76</v>
      </c>
      <c r="E31" s="213">
        <v>8.025599999999999</v>
      </c>
      <c r="F31" s="207">
        <v>2533</v>
      </c>
      <c r="G31" s="184">
        <v>8</v>
      </c>
      <c r="H31" s="124">
        <v>2525.2199999999998</v>
      </c>
      <c r="I31" s="123">
        <v>8</v>
      </c>
      <c r="J31" s="124">
        <v>2496.63</v>
      </c>
      <c r="K31" s="143">
        <f t="shared" si="1"/>
        <v>0</v>
      </c>
      <c r="L31" s="53"/>
      <c r="M31" s="20"/>
      <c r="N31" s="21"/>
      <c r="O31" s="21"/>
      <c r="P31" s="21"/>
      <c r="Q31" s="21"/>
      <c r="R31" s="21"/>
      <c r="S31" s="72"/>
      <c r="T31" s="202"/>
      <c r="U31" s="203"/>
    </row>
    <row r="32" spans="1:21" ht="39" x14ac:dyDescent="0.25">
      <c r="A32" s="264"/>
      <c r="B32" s="12" t="s">
        <v>140</v>
      </c>
      <c r="C32" s="58" t="s">
        <v>58</v>
      </c>
      <c r="D32" s="97" t="s">
        <v>76</v>
      </c>
      <c r="E32" s="213">
        <v>6.0191999999999997</v>
      </c>
      <c r="F32" s="207">
        <v>1899</v>
      </c>
      <c r="G32" s="184">
        <v>6</v>
      </c>
      <c r="H32" s="124">
        <v>1893.92</v>
      </c>
      <c r="I32" s="123">
        <v>6</v>
      </c>
      <c r="J32" s="124">
        <v>1872.47</v>
      </c>
      <c r="K32" s="143">
        <f t="shared" si="1"/>
        <v>0</v>
      </c>
      <c r="L32" s="53"/>
      <c r="M32" s="20"/>
      <c r="N32" s="21"/>
      <c r="O32" s="21"/>
      <c r="P32" s="21"/>
      <c r="Q32" s="21"/>
      <c r="R32" s="21"/>
      <c r="S32" s="72"/>
      <c r="T32" s="202"/>
      <c r="U32" s="203"/>
    </row>
    <row r="33" spans="1:21" ht="26.25" x14ac:dyDescent="0.25">
      <c r="A33" s="264"/>
      <c r="B33" s="11" t="s">
        <v>142</v>
      </c>
      <c r="C33" s="58" t="s">
        <v>143</v>
      </c>
      <c r="D33" s="97" t="s">
        <v>76</v>
      </c>
      <c r="E33" s="213">
        <v>2.0063999999999997</v>
      </c>
      <c r="F33" s="207">
        <v>633</v>
      </c>
      <c r="G33" s="184">
        <v>2</v>
      </c>
      <c r="H33" s="124">
        <v>631.30999999999995</v>
      </c>
      <c r="I33" s="123">
        <v>2</v>
      </c>
      <c r="J33" s="124">
        <v>624.16</v>
      </c>
      <c r="K33" s="143">
        <f t="shared" si="1"/>
        <v>0</v>
      </c>
      <c r="L33" s="53"/>
      <c r="M33" s="20"/>
      <c r="N33" s="21"/>
      <c r="O33" s="21"/>
      <c r="P33" s="21"/>
      <c r="Q33" s="21"/>
      <c r="R33" s="21"/>
      <c r="S33" s="72"/>
      <c r="T33" s="202"/>
      <c r="U33" s="203"/>
    </row>
    <row r="34" spans="1:21" ht="39" x14ac:dyDescent="0.25">
      <c r="A34" s="264"/>
      <c r="B34" s="11" t="s">
        <v>144</v>
      </c>
      <c r="C34" s="58" t="s">
        <v>145</v>
      </c>
      <c r="D34" s="97" t="s">
        <v>76</v>
      </c>
      <c r="E34" s="213">
        <v>6.0191999999999997</v>
      </c>
      <c r="F34" s="207">
        <v>1899</v>
      </c>
      <c r="G34" s="184">
        <v>6</v>
      </c>
      <c r="H34" s="124">
        <v>1893.92</v>
      </c>
      <c r="I34" s="123">
        <v>6</v>
      </c>
      <c r="J34" s="124">
        <v>1872.47</v>
      </c>
      <c r="K34" s="143">
        <f t="shared" si="1"/>
        <v>0</v>
      </c>
      <c r="L34" s="53"/>
      <c r="M34" s="20"/>
      <c r="N34" s="21"/>
      <c r="O34" s="21"/>
      <c r="P34" s="21"/>
      <c r="Q34" s="21"/>
      <c r="R34" s="21"/>
      <c r="S34" s="72"/>
      <c r="T34" s="202"/>
      <c r="U34" s="203"/>
    </row>
    <row r="35" spans="1:21" ht="102.75" x14ac:dyDescent="0.25">
      <c r="A35" s="264"/>
      <c r="B35" s="63" t="s">
        <v>256</v>
      </c>
      <c r="C35" s="55" t="s">
        <v>204</v>
      </c>
      <c r="D35" s="98" t="s">
        <v>79</v>
      </c>
      <c r="E35" s="209">
        <v>578.8463999999999</v>
      </c>
      <c r="F35" s="208">
        <v>173114522</v>
      </c>
      <c r="G35" s="185">
        <f>449+65+63</f>
        <v>577</v>
      </c>
      <c r="H35" s="126">
        <f>144002892.43+14485215.49+14074215.47</f>
        <v>172562323.39000002</v>
      </c>
      <c r="I35" s="125">
        <v>575</v>
      </c>
      <c r="J35" s="126">
        <f>140189722.78+14105313.71+13631235.39</f>
        <v>167926271.88</v>
      </c>
      <c r="K35" s="143">
        <f t="shared" si="1"/>
        <v>-2</v>
      </c>
      <c r="L35" s="80" t="s">
        <v>327</v>
      </c>
      <c r="M35" s="20"/>
      <c r="N35" s="21"/>
      <c r="O35" s="21"/>
      <c r="P35" s="21"/>
      <c r="Q35" s="21"/>
      <c r="R35" s="21"/>
      <c r="S35" s="72"/>
      <c r="T35" s="202"/>
      <c r="U35" s="203"/>
    </row>
    <row r="36" spans="1:21" ht="102.75" x14ac:dyDescent="0.25">
      <c r="A36" s="264"/>
      <c r="B36" s="63" t="s">
        <v>257</v>
      </c>
      <c r="C36" s="55" t="s">
        <v>205</v>
      </c>
      <c r="D36" s="98" t="s">
        <v>79</v>
      </c>
      <c r="E36" s="209">
        <v>170.54399999999998</v>
      </c>
      <c r="F36" s="208">
        <v>37106426</v>
      </c>
      <c r="G36" s="185">
        <v>170</v>
      </c>
      <c r="H36" s="126">
        <v>36988064.740000002</v>
      </c>
      <c r="I36" s="125">
        <v>165</v>
      </c>
      <c r="J36" s="126">
        <v>35995397.990000002</v>
      </c>
      <c r="K36" s="143">
        <f t="shared" si="1"/>
        <v>-5</v>
      </c>
      <c r="L36" s="80" t="s">
        <v>327</v>
      </c>
      <c r="M36" s="20"/>
      <c r="N36" s="21"/>
      <c r="O36" s="21"/>
      <c r="P36" s="21"/>
      <c r="Q36" s="21"/>
      <c r="R36" s="21"/>
      <c r="S36" s="72"/>
      <c r="T36" s="202"/>
      <c r="U36" s="203"/>
    </row>
    <row r="37" spans="1:21" ht="77.25" x14ac:dyDescent="0.25">
      <c r="A37" s="264"/>
      <c r="B37" s="63" t="s">
        <v>258</v>
      </c>
      <c r="C37" s="55" t="s">
        <v>206</v>
      </c>
      <c r="D37" s="98" t="s">
        <v>79</v>
      </c>
      <c r="E37" s="209">
        <v>290.92799999999994</v>
      </c>
      <c r="F37" s="208">
        <v>78255493</v>
      </c>
      <c r="G37" s="185">
        <f>274+16</f>
        <v>290</v>
      </c>
      <c r="H37" s="126">
        <f>74524645.39+3481229.62</f>
        <v>78005875.010000005</v>
      </c>
      <c r="I37" s="125">
        <f>272+16</f>
        <v>288</v>
      </c>
      <c r="J37" s="126">
        <f>73229263.55+3387802.16</f>
        <v>76617065.709999993</v>
      </c>
      <c r="K37" s="143">
        <f t="shared" si="1"/>
        <v>-2</v>
      </c>
      <c r="L37" s="80" t="s">
        <v>328</v>
      </c>
      <c r="M37" s="20"/>
      <c r="N37" s="21"/>
      <c r="O37" s="21"/>
      <c r="P37" s="21"/>
      <c r="Q37" s="21"/>
      <c r="R37" s="21"/>
      <c r="S37" s="72"/>
      <c r="T37" s="202"/>
      <c r="U37" s="203"/>
    </row>
    <row r="38" spans="1:21" ht="77.25" x14ac:dyDescent="0.25">
      <c r="A38" s="264"/>
      <c r="B38" s="63" t="s">
        <v>259</v>
      </c>
      <c r="C38" s="55" t="s">
        <v>207</v>
      </c>
      <c r="D38" s="98" t="s">
        <v>79</v>
      </c>
      <c r="E38" s="209">
        <v>593.89439999999991</v>
      </c>
      <c r="F38" s="208">
        <v>143661880</v>
      </c>
      <c r="G38" s="185">
        <f>461+49+82</f>
        <v>592</v>
      </c>
      <c r="H38" s="126">
        <f>112400750.8+11261025.98+19541851.82</f>
        <v>143203628.59999999</v>
      </c>
      <c r="I38" s="125">
        <f>462+49+80</f>
        <v>591</v>
      </c>
      <c r="J38" s="126">
        <f>110672040.16+10974287.12+18531023.65</f>
        <v>140177350.93000001</v>
      </c>
      <c r="K38" s="143">
        <f t="shared" si="1"/>
        <v>-1</v>
      </c>
      <c r="L38" s="80" t="s">
        <v>328</v>
      </c>
      <c r="M38" s="20"/>
      <c r="N38" s="21"/>
      <c r="O38" s="21"/>
      <c r="P38" s="21"/>
      <c r="Q38" s="21"/>
      <c r="R38" s="21"/>
      <c r="S38" s="72"/>
      <c r="T38" s="202"/>
      <c r="U38" s="203"/>
    </row>
    <row r="39" spans="1:21" ht="77.25" x14ac:dyDescent="0.25">
      <c r="A39" s="264"/>
      <c r="B39" s="63" t="s">
        <v>260</v>
      </c>
      <c r="C39" s="55" t="s">
        <v>208</v>
      </c>
      <c r="D39" s="98" t="s">
        <v>79</v>
      </c>
      <c r="E39" s="209">
        <v>1677.3503999999998</v>
      </c>
      <c r="F39" s="208">
        <v>393500963</v>
      </c>
      <c r="G39" s="185">
        <v>1672</v>
      </c>
      <c r="H39" s="126">
        <f>302876462.4-5816028.72-900000+31025275.69+65060067.63</f>
        <v>392245776.99999994</v>
      </c>
      <c r="I39" s="125">
        <f>1257+135+273</f>
        <v>1665</v>
      </c>
      <c r="J39" s="126">
        <f>295584877.38+411187.95+30235280.85+63237118.19</f>
        <v>389468464.37</v>
      </c>
      <c r="K39" s="143">
        <f t="shared" si="1"/>
        <v>-7</v>
      </c>
      <c r="L39" s="80" t="s">
        <v>328</v>
      </c>
      <c r="M39" s="20"/>
      <c r="N39" s="21"/>
      <c r="O39" s="21"/>
      <c r="P39" s="21"/>
      <c r="Q39" s="21"/>
      <c r="R39" s="21"/>
      <c r="S39" s="72"/>
      <c r="T39" s="202"/>
      <c r="U39" s="203"/>
    </row>
    <row r="40" spans="1:21" ht="77.25" x14ac:dyDescent="0.25">
      <c r="A40" s="264"/>
      <c r="B40" s="63" t="s">
        <v>261</v>
      </c>
      <c r="C40" s="55" t="s">
        <v>209</v>
      </c>
      <c r="D40" s="98" t="s">
        <v>79</v>
      </c>
      <c r="E40" s="209">
        <v>95.303999999999988</v>
      </c>
      <c r="F40" s="208">
        <v>18576527</v>
      </c>
      <c r="G40" s="185">
        <f>58+37</f>
        <v>95</v>
      </c>
      <c r="H40" s="126">
        <f>10794537.76+7722734.54</f>
        <v>18517272.300000001</v>
      </c>
      <c r="I40" s="125">
        <f>59+37</f>
        <v>96</v>
      </c>
      <c r="J40" s="126">
        <f>10513584.65+7722734.54</f>
        <v>18236319.190000001</v>
      </c>
      <c r="K40" s="143">
        <f t="shared" si="1"/>
        <v>1</v>
      </c>
      <c r="L40" s="80" t="s">
        <v>325</v>
      </c>
      <c r="M40" s="20"/>
      <c r="N40" s="21"/>
      <c r="O40" s="21"/>
      <c r="P40" s="21"/>
      <c r="Q40" s="21"/>
      <c r="R40" s="21"/>
      <c r="S40" s="72"/>
      <c r="T40" s="202"/>
      <c r="U40" s="203"/>
    </row>
    <row r="41" spans="1:21" ht="26.25" x14ac:dyDescent="0.25">
      <c r="A41" s="264"/>
      <c r="B41" s="63" t="s">
        <v>262</v>
      </c>
      <c r="C41" s="55" t="s">
        <v>210</v>
      </c>
      <c r="D41" s="98" t="s">
        <v>79</v>
      </c>
      <c r="E41" s="209">
        <v>412.31519999999995</v>
      </c>
      <c r="F41" s="208">
        <v>77950920</v>
      </c>
      <c r="G41" s="185">
        <f>264+147</f>
        <v>411</v>
      </c>
      <c r="H41" s="126">
        <f>50343704.38+27358568.37</f>
        <v>77702272.75</v>
      </c>
      <c r="I41" s="125">
        <v>411</v>
      </c>
      <c r="J41" s="126">
        <f>50277425.23+26194863.45</f>
        <v>76472288.679999992</v>
      </c>
      <c r="K41" s="143">
        <f t="shared" si="1"/>
        <v>0</v>
      </c>
      <c r="L41" s="53"/>
      <c r="M41" s="20"/>
      <c r="N41" s="21"/>
      <c r="O41" s="21"/>
      <c r="P41" s="21"/>
      <c r="Q41" s="21"/>
      <c r="R41" s="21"/>
      <c r="S41" s="72"/>
      <c r="T41" s="202"/>
      <c r="U41" s="203"/>
    </row>
    <row r="42" spans="1:21" ht="51.75" x14ac:dyDescent="0.25">
      <c r="A42" s="264"/>
      <c r="B42" s="63" t="s">
        <v>263</v>
      </c>
      <c r="C42" s="55" t="s">
        <v>211</v>
      </c>
      <c r="D42" s="98" t="s">
        <v>79</v>
      </c>
      <c r="E42" s="209">
        <v>49.156799999999997</v>
      </c>
      <c r="F42" s="208">
        <v>6800744</v>
      </c>
      <c r="G42" s="185">
        <v>49</v>
      </c>
      <c r="H42" s="126">
        <f>3162289.95+3616761.21</f>
        <v>6779051.1600000001</v>
      </c>
      <c r="I42" s="125">
        <v>49</v>
      </c>
      <c r="J42" s="126">
        <f>3091609.52+3536694.59</f>
        <v>6628304.1099999994</v>
      </c>
      <c r="K42" s="143">
        <f t="shared" si="1"/>
        <v>0</v>
      </c>
      <c r="L42" s="53"/>
      <c r="M42" s="20"/>
      <c r="N42" s="21"/>
      <c r="O42" s="21"/>
      <c r="P42" s="21"/>
      <c r="Q42" s="21"/>
      <c r="R42" s="21"/>
      <c r="S42" s="72"/>
      <c r="T42" s="202"/>
      <c r="U42" s="203"/>
    </row>
    <row r="43" spans="1:21" ht="64.5" x14ac:dyDescent="0.25">
      <c r="A43" s="264"/>
      <c r="B43" s="63" t="s">
        <v>264</v>
      </c>
      <c r="C43" s="55" t="s">
        <v>212</v>
      </c>
      <c r="D43" s="98" t="s">
        <v>79</v>
      </c>
      <c r="E43" s="209">
        <v>7.0223999999999993</v>
      </c>
      <c r="F43" s="208">
        <v>926610</v>
      </c>
      <c r="G43" s="185">
        <v>7</v>
      </c>
      <c r="H43" s="126">
        <f>523650.36+400004.07</f>
        <v>923654.42999999993</v>
      </c>
      <c r="I43" s="125">
        <v>7</v>
      </c>
      <c r="J43" s="126">
        <f>514827.28+387981.24</f>
        <v>902808.52</v>
      </c>
      <c r="K43" s="143">
        <f t="shared" si="1"/>
        <v>0</v>
      </c>
      <c r="L43" s="53"/>
      <c r="M43" s="20"/>
      <c r="N43" s="21"/>
      <c r="O43" s="21"/>
      <c r="P43" s="21"/>
      <c r="Q43" s="21"/>
      <c r="R43" s="21"/>
      <c r="S43" s="72"/>
      <c r="T43" s="202"/>
      <c r="U43" s="203"/>
    </row>
    <row r="44" spans="1:21" ht="51.75" x14ac:dyDescent="0.25">
      <c r="A44" s="264"/>
      <c r="B44" s="63" t="s">
        <v>265</v>
      </c>
      <c r="C44" s="55" t="s">
        <v>213</v>
      </c>
      <c r="D44" s="98" t="s">
        <v>79</v>
      </c>
      <c r="E44" s="209">
        <v>2.0063999999999997</v>
      </c>
      <c r="F44" s="208">
        <v>267522</v>
      </c>
      <c r="G44" s="185">
        <v>2</v>
      </c>
      <c r="H44" s="126">
        <v>266669.38</v>
      </c>
      <c r="I44" s="125">
        <v>2</v>
      </c>
      <c r="J44" s="126">
        <v>258654.16</v>
      </c>
      <c r="K44" s="143">
        <f t="shared" si="1"/>
        <v>0</v>
      </c>
      <c r="L44" s="53"/>
      <c r="M44" s="20"/>
      <c r="N44" s="21"/>
      <c r="O44" s="21"/>
      <c r="P44" s="21"/>
      <c r="Q44" s="21"/>
      <c r="R44" s="21"/>
      <c r="S44" s="72"/>
      <c r="T44" s="202"/>
      <c r="U44" s="203"/>
    </row>
    <row r="45" spans="1:21" ht="51.75" x14ac:dyDescent="0.25">
      <c r="A45" s="264"/>
      <c r="B45" s="63" t="s">
        <v>266</v>
      </c>
      <c r="C45" s="55" t="s">
        <v>214</v>
      </c>
      <c r="D45" s="98" t="s">
        <v>79</v>
      </c>
      <c r="E45" s="209">
        <v>1091.4815999999998</v>
      </c>
      <c r="F45" s="208">
        <v>140604587</v>
      </c>
      <c r="G45" s="185">
        <f>528+560</f>
        <v>1088</v>
      </c>
      <c r="H45" s="126">
        <f>65488673.27+74667415.2</f>
        <v>140156088.47</v>
      </c>
      <c r="I45" s="125">
        <f>528+560</f>
        <v>1088</v>
      </c>
      <c r="J45" s="126">
        <f>64064249.34+72423164.8</f>
        <v>136487414.13999999</v>
      </c>
      <c r="K45" s="143">
        <f t="shared" si="1"/>
        <v>0</v>
      </c>
      <c r="L45" s="53"/>
      <c r="M45" s="20"/>
      <c r="N45" s="21"/>
      <c r="O45" s="21"/>
      <c r="P45" s="21"/>
      <c r="Q45" s="21"/>
      <c r="R45" s="21"/>
      <c r="S45" s="72"/>
      <c r="T45" s="202"/>
      <c r="U45" s="203"/>
    </row>
    <row r="46" spans="1:21" ht="64.5" x14ac:dyDescent="0.25">
      <c r="A46" s="264"/>
      <c r="B46" s="63" t="s">
        <v>267</v>
      </c>
      <c r="C46" s="55" t="s">
        <v>215</v>
      </c>
      <c r="D46" s="98" t="s">
        <v>79</v>
      </c>
      <c r="E46" s="209">
        <v>2.0063999999999997</v>
      </c>
      <c r="F46" s="208">
        <v>267522</v>
      </c>
      <c r="G46" s="185">
        <v>2</v>
      </c>
      <c r="H46" s="126">
        <v>266669.38</v>
      </c>
      <c r="I46" s="125">
        <v>2</v>
      </c>
      <c r="J46" s="126">
        <v>258654.16</v>
      </c>
      <c r="K46" s="143">
        <f t="shared" si="1"/>
        <v>0</v>
      </c>
      <c r="L46" s="53"/>
      <c r="M46" s="20"/>
      <c r="N46" s="21"/>
      <c r="O46" s="21"/>
      <c r="P46" s="21"/>
      <c r="Q46" s="21"/>
      <c r="R46" s="21"/>
      <c r="S46" s="72"/>
      <c r="T46" s="202"/>
      <c r="U46" s="203"/>
    </row>
    <row r="47" spans="1:21" ht="39" x14ac:dyDescent="0.25">
      <c r="A47" s="264"/>
      <c r="B47" s="63" t="s">
        <v>268</v>
      </c>
      <c r="C47" s="55" t="s">
        <v>216</v>
      </c>
      <c r="D47" s="98" t="s">
        <v>79</v>
      </c>
      <c r="E47" s="209">
        <v>15.047999999999998</v>
      </c>
      <c r="F47" s="208">
        <v>2636850</v>
      </c>
      <c r="G47" s="185">
        <v>15</v>
      </c>
      <c r="H47" s="126">
        <v>2628439.36</v>
      </c>
      <c r="I47" s="125">
        <v>15</v>
      </c>
      <c r="J47" s="126">
        <v>2628439.36</v>
      </c>
      <c r="K47" s="143">
        <f t="shared" si="1"/>
        <v>0</v>
      </c>
      <c r="L47" s="53"/>
      <c r="M47" s="20"/>
      <c r="N47" s="21"/>
      <c r="O47" s="21"/>
      <c r="P47" s="21"/>
      <c r="Q47" s="21"/>
      <c r="R47" s="21"/>
      <c r="S47" s="72"/>
      <c r="T47" s="202"/>
      <c r="U47" s="203"/>
    </row>
    <row r="48" spans="1:21" ht="51.75" x14ac:dyDescent="0.25">
      <c r="A48" s="264"/>
      <c r="B48" s="63" t="s">
        <v>269</v>
      </c>
      <c r="C48" s="55" t="s">
        <v>217</v>
      </c>
      <c r="D48" s="98" t="s">
        <v>79</v>
      </c>
      <c r="E48" s="209">
        <v>6.0191999999999997</v>
      </c>
      <c r="F48" s="208">
        <v>2051626</v>
      </c>
      <c r="G48" s="185">
        <v>6</v>
      </c>
      <c r="H48" s="126">
        <f>1911747.64+133334.68</f>
        <v>2045082.3199999998</v>
      </c>
      <c r="I48" s="125">
        <v>6</v>
      </c>
      <c r="J48" s="126">
        <f>1905119.74+129327.08</f>
        <v>2034446.82</v>
      </c>
      <c r="K48" s="143">
        <f t="shared" si="1"/>
        <v>0</v>
      </c>
      <c r="L48" s="53"/>
      <c r="M48" s="20"/>
      <c r="N48" s="21"/>
      <c r="O48" s="21"/>
      <c r="P48" s="21"/>
      <c r="Q48" s="21"/>
      <c r="R48" s="21"/>
      <c r="S48" s="72"/>
      <c r="T48" s="202"/>
      <c r="U48" s="203"/>
    </row>
    <row r="49" spans="1:21" ht="26.25" x14ac:dyDescent="0.25">
      <c r="A49" s="264"/>
      <c r="B49" s="63" t="s">
        <v>270</v>
      </c>
      <c r="C49" s="55" t="s">
        <v>218</v>
      </c>
      <c r="D49" s="98" t="s">
        <v>79</v>
      </c>
      <c r="E49" s="209">
        <v>11.035199999999998</v>
      </c>
      <c r="F49" s="208">
        <v>1713585</v>
      </c>
      <c r="G49" s="185">
        <f>8+3</f>
        <v>11</v>
      </c>
      <c r="H49" s="126">
        <f>1308115.78+400004.07</f>
        <v>1708119.85</v>
      </c>
      <c r="I49" s="125">
        <v>11</v>
      </c>
      <c r="J49" s="126">
        <f>1292269.99+387981.24</f>
        <v>1680251.23</v>
      </c>
      <c r="K49" s="143">
        <f t="shared" si="1"/>
        <v>0</v>
      </c>
      <c r="L49" s="53"/>
      <c r="M49" s="20"/>
      <c r="N49" s="21"/>
      <c r="O49" s="21"/>
      <c r="P49" s="21"/>
      <c r="Q49" s="21"/>
      <c r="R49" s="21"/>
      <c r="S49" s="72"/>
      <c r="T49" s="202"/>
      <c r="U49" s="203"/>
    </row>
    <row r="50" spans="1:21" ht="39" x14ac:dyDescent="0.25">
      <c r="A50" s="264"/>
      <c r="B50" s="63" t="s">
        <v>271</v>
      </c>
      <c r="C50" s="55" t="s">
        <v>219</v>
      </c>
      <c r="D50" s="98" t="s">
        <v>79</v>
      </c>
      <c r="E50" s="209">
        <v>6.0191999999999997</v>
      </c>
      <c r="F50" s="208">
        <v>2325344</v>
      </c>
      <c r="G50" s="185">
        <v>6</v>
      </c>
      <c r="H50" s="126">
        <v>2317927.29</v>
      </c>
      <c r="I50" s="125">
        <v>6</v>
      </c>
      <c r="J50" s="126">
        <v>2313991.71</v>
      </c>
      <c r="K50" s="143">
        <f t="shared" si="1"/>
        <v>0</v>
      </c>
      <c r="L50" s="53"/>
      <c r="M50" s="20"/>
      <c r="N50" s="21"/>
      <c r="O50" s="21"/>
      <c r="P50" s="21"/>
      <c r="Q50" s="21"/>
      <c r="R50" s="21"/>
      <c r="S50" s="72"/>
      <c r="T50" s="202"/>
      <c r="U50" s="203"/>
    </row>
    <row r="51" spans="1:21" ht="51" x14ac:dyDescent="0.25">
      <c r="A51" s="264"/>
      <c r="B51" s="63" t="s">
        <v>272</v>
      </c>
      <c r="C51" s="55" t="s">
        <v>220</v>
      </c>
      <c r="D51" s="98" t="s">
        <v>79</v>
      </c>
      <c r="E51" s="209">
        <v>1578.0335999999998</v>
      </c>
      <c r="F51" s="208">
        <v>207132281</v>
      </c>
      <c r="G51" s="185">
        <f>1193+380</f>
        <v>1573</v>
      </c>
      <c r="H51" s="126">
        <f>152803204.49+53668367.52</f>
        <v>206471572.01000002</v>
      </c>
      <c r="I51" s="125">
        <f>1193+379</f>
        <v>1572</v>
      </c>
      <c r="J51" s="126">
        <f>149384165.97+52489605.57</f>
        <v>201873771.53999999</v>
      </c>
      <c r="K51" s="143">
        <f t="shared" si="1"/>
        <v>-1</v>
      </c>
      <c r="L51" s="53" t="s">
        <v>329</v>
      </c>
      <c r="M51" s="20"/>
      <c r="N51" s="21"/>
      <c r="O51" s="21"/>
      <c r="P51" s="21"/>
      <c r="Q51" s="21"/>
      <c r="R51" s="21"/>
      <c r="S51" s="72"/>
      <c r="T51" s="202"/>
      <c r="U51" s="203"/>
    </row>
    <row r="52" spans="1:21" ht="39" x14ac:dyDescent="0.25">
      <c r="A52" s="264"/>
      <c r="B52" s="63" t="s">
        <v>273</v>
      </c>
      <c r="C52" s="55" t="s">
        <v>221</v>
      </c>
      <c r="D52" s="98" t="s">
        <v>79</v>
      </c>
      <c r="E52" s="209">
        <v>324.03359999999998</v>
      </c>
      <c r="F52" s="208">
        <v>45143758</v>
      </c>
      <c r="G52" s="185">
        <v>323</v>
      </c>
      <c r="H52" s="126">
        <v>44999759.359999999</v>
      </c>
      <c r="I52" s="125">
        <v>323</v>
      </c>
      <c r="J52" s="126">
        <v>43929353.700000003</v>
      </c>
      <c r="K52" s="143">
        <f t="shared" si="1"/>
        <v>0</v>
      </c>
      <c r="L52" s="53"/>
      <c r="M52" s="20"/>
      <c r="N52" s="21"/>
      <c r="O52" s="21"/>
      <c r="P52" s="21"/>
      <c r="Q52" s="21"/>
      <c r="R52" s="21"/>
      <c r="S52" s="72"/>
      <c r="T52" s="202"/>
      <c r="U52" s="203"/>
    </row>
    <row r="53" spans="1:21" ht="39" x14ac:dyDescent="0.25">
      <c r="A53" s="264"/>
      <c r="B53" s="63" t="s">
        <v>274</v>
      </c>
      <c r="C53" s="55" t="s">
        <v>222</v>
      </c>
      <c r="D53" s="98" t="s">
        <v>79</v>
      </c>
      <c r="E53" s="209">
        <v>16.051199999999998</v>
      </c>
      <c r="F53" s="208">
        <v>4316682</v>
      </c>
      <c r="G53" s="185">
        <v>16</v>
      </c>
      <c r="H53" s="126">
        <f>3455518.39+847395.28</f>
        <v>4302913.67</v>
      </c>
      <c r="I53" s="125">
        <v>16</v>
      </c>
      <c r="J53" s="126">
        <f>3434624.79+830970.01</f>
        <v>4265594.8</v>
      </c>
      <c r="K53" s="143">
        <f t="shared" si="1"/>
        <v>0</v>
      </c>
      <c r="L53" s="53"/>
      <c r="M53" s="20"/>
      <c r="N53" s="21"/>
      <c r="O53" s="21"/>
      <c r="P53" s="21"/>
      <c r="Q53" s="21"/>
      <c r="R53" s="21"/>
      <c r="S53" s="72"/>
      <c r="T53" s="202"/>
      <c r="U53" s="203"/>
    </row>
    <row r="54" spans="1:21" ht="39" x14ac:dyDescent="0.25">
      <c r="A54" s="264"/>
      <c r="B54" s="63" t="s">
        <v>275</v>
      </c>
      <c r="C54" s="55" t="s">
        <v>223</v>
      </c>
      <c r="D54" s="98" t="s">
        <v>79</v>
      </c>
      <c r="E54" s="209">
        <v>2.0063999999999997</v>
      </c>
      <c r="F54" s="208">
        <v>400983</v>
      </c>
      <c r="G54" s="185">
        <v>2</v>
      </c>
      <c r="H54" s="126">
        <v>399704.62</v>
      </c>
      <c r="I54" s="125">
        <v>2</v>
      </c>
      <c r="J54" s="126">
        <v>390472.09</v>
      </c>
      <c r="K54" s="143">
        <f t="shared" si="1"/>
        <v>0</v>
      </c>
      <c r="L54" s="53"/>
      <c r="M54" s="20"/>
      <c r="N54" s="21"/>
      <c r="O54" s="21"/>
      <c r="P54" s="21"/>
      <c r="Q54" s="21"/>
      <c r="R54" s="21"/>
      <c r="S54" s="72"/>
      <c r="T54" s="202"/>
      <c r="U54" s="203"/>
    </row>
    <row r="55" spans="1:21" ht="39" x14ac:dyDescent="0.25">
      <c r="A55" s="264"/>
      <c r="B55" s="63" t="s">
        <v>276</v>
      </c>
      <c r="C55" s="55" t="s">
        <v>224</v>
      </c>
      <c r="D55" s="98" t="s">
        <v>79</v>
      </c>
      <c r="E55" s="209">
        <v>6.0191999999999997</v>
      </c>
      <c r="F55" s="208">
        <v>1463847</v>
      </c>
      <c r="G55" s="185">
        <v>6</v>
      </c>
      <c r="H55" s="126">
        <v>1459177.86</v>
      </c>
      <c r="I55" s="125">
        <v>6</v>
      </c>
      <c r="J55" s="126">
        <v>1431480.28</v>
      </c>
      <c r="K55" s="143">
        <f t="shared" si="1"/>
        <v>0</v>
      </c>
      <c r="L55" s="53"/>
      <c r="M55" s="20"/>
      <c r="N55" s="21"/>
      <c r="O55" s="21"/>
      <c r="P55" s="21"/>
      <c r="Q55" s="21"/>
      <c r="R55" s="21"/>
      <c r="S55" s="72"/>
      <c r="T55" s="202"/>
      <c r="U55" s="203"/>
    </row>
    <row r="56" spans="1:21" ht="51.75" x14ac:dyDescent="0.25">
      <c r="A56" s="264"/>
      <c r="B56" s="63" t="s">
        <v>277</v>
      </c>
      <c r="C56" s="55" t="s">
        <v>225</v>
      </c>
      <c r="D56" s="98" t="s">
        <v>79</v>
      </c>
      <c r="E56" s="209">
        <v>1.0031999999999999</v>
      </c>
      <c r="F56" s="208">
        <v>769449</v>
      </c>
      <c r="G56" s="185">
        <v>1</v>
      </c>
      <c r="H56" s="126">
        <v>766995.31</v>
      </c>
      <c r="I56" s="125">
        <v>1</v>
      </c>
      <c r="J56" s="126">
        <v>762379.04</v>
      </c>
      <c r="K56" s="143">
        <f t="shared" si="1"/>
        <v>0</v>
      </c>
      <c r="L56" s="53"/>
      <c r="M56" s="20"/>
      <c r="N56" s="21"/>
      <c r="O56" s="21"/>
      <c r="P56" s="21"/>
      <c r="Q56" s="21"/>
      <c r="R56" s="21"/>
      <c r="S56" s="72"/>
      <c r="T56" s="202"/>
      <c r="U56" s="203"/>
    </row>
    <row r="57" spans="1:21" ht="39" x14ac:dyDescent="0.25">
      <c r="A57" s="264"/>
      <c r="B57" s="63" t="s">
        <v>278</v>
      </c>
      <c r="C57" s="55" t="s">
        <v>226</v>
      </c>
      <c r="D57" s="98" t="s">
        <v>79</v>
      </c>
      <c r="E57" s="209">
        <v>6.0191999999999997</v>
      </c>
      <c r="F57" s="208">
        <v>803932</v>
      </c>
      <c r="G57" s="185">
        <v>6</v>
      </c>
      <c r="H57" s="126">
        <v>801367.86</v>
      </c>
      <c r="I57" s="125">
        <v>6</v>
      </c>
      <c r="J57" s="126">
        <v>773670.28</v>
      </c>
      <c r="K57" s="143">
        <f t="shared" si="1"/>
        <v>0</v>
      </c>
      <c r="L57" s="53"/>
      <c r="M57" s="20"/>
      <c r="N57" s="21"/>
      <c r="O57" s="21"/>
      <c r="P57" s="21"/>
      <c r="Q57" s="21"/>
      <c r="R57" s="21"/>
      <c r="S57" s="72"/>
      <c r="T57" s="202"/>
      <c r="U57" s="203"/>
    </row>
    <row r="58" spans="1:21" ht="39" x14ac:dyDescent="0.25">
      <c r="A58" s="264"/>
      <c r="B58" s="63" t="s">
        <v>279</v>
      </c>
      <c r="C58" s="55" t="s">
        <v>227</v>
      </c>
      <c r="D58" s="98" t="s">
        <v>79</v>
      </c>
      <c r="E58" s="209">
        <v>29.092799999999997</v>
      </c>
      <c r="F58" s="208">
        <v>891198</v>
      </c>
      <c r="G58" s="185">
        <v>29</v>
      </c>
      <c r="H58" s="126">
        <v>888356.1</v>
      </c>
      <c r="I58" s="125">
        <v>29</v>
      </c>
      <c r="J58" s="126">
        <v>888356.1</v>
      </c>
      <c r="K58" s="143">
        <f t="shared" si="1"/>
        <v>0</v>
      </c>
      <c r="L58" s="53"/>
      <c r="M58" s="20"/>
      <c r="N58" s="21"/>
      <c r="O58" s="21"/>
      <c r="P58" s="21"/>
      <c r="Q58" s="21"/>
      <c r="R58" s="21"/>
      <c r="S58" s="72"/>
      <c r="T58" s="202"/>
      <c r="U58" s="203"/>
    </row>
    <row r="59" spans="1:21" ht="51.75" x14ac:dyDescent="0.25">
      <c r="A59" s="264"/>
      <c r="B59" s="63" t="s">
        <v>280</v>
      </c>
      <c r="C59" s="55" t="s">
        <v>228</v>
      </c>
      <c r="D59" s="98" t="s">
        <v>79</v>
      </c>
      <c r="E59" s="209">
        <v>50.16</v>
      </c>
      <c r="F59" s="208">
        <v>7449463</v>
      </c>
      <c r="G59" s="185">
        <v>50</v>
      </c>
      <c r="H59" s="126">
        <f>3126470.49+4299230.37</f>
        <v>7425700.8600000003</v>
      </c>
      <c r="I59" s="125">
        <v>50</v>
      </c>
      <c r="J59" s="126">
        <f>3053086.48+4201666.03</f>
        <v>7254752.5099999998</v>
      </c>
      <c r="K59" s="143">
        <f t="shared" si="1"/>
        <v>0</v>
      </c>
      <c r="L59" s="53"/>
      <c r="M59" s="20"/>
      <c r="N59" s="21"/>
      <c r="O59" s="21"/>
      <c r="P59" s="21"/>
      <c r="Q59" s="21"/>
      <c r="R59" s="21"/>
      <c r="S59" s="72"/>
      <c r="T59" s="202"/>
      <c r="U59" s="203"/>
    </row>
    <row r="60" spans="1:21" ht="64.5" x14ac:dyDescent="0.25">
      <c r="A60" s="264"/>
      <c r="B60" s="63" t="s">
        <v>281</v>
      </c>
      <c r="C60" s="55" t="s">
        <v>229</v>
      </c>
      <c r="D60" s="98" t="s">
        <v>79</v>
      </c>
      <c r="E60" s="209">
        <v>6.0191999999999997</v>
      </c>
      <c r="F60" s="208">
        <v>2709633</v>
      </c>
      <c r="G60" s="185">
        <v>6</v>
      </c>
      <c r="H60" s="126">
        <f>2300985.94+400004.07</f>
        <v>2700990.01</v>
      </c>
      <c r="I60" s="125">
        <v>6</v>
      </c>
      <c r="J60" s="126">
        <f>2287137.14+387981.27</f>
        <v>2675118.41</v>
      </c>
      <c r="K60" s="143">
        <f t="shared" si="1"/>
        <v>0</v>
      </c>
      <c r="L60" s="53"/>
      <c r="M60" s="20"/>
      <c r="N60" s="21"/>
      <c r="O60" s="21"/>
      <c r="P60" s="21"/>
      <c r="Q60" s="21"/>
      <c r="R60" s="21"/>
      <c r="S60" s="72"/>
      <c r="T60" s="202"/>
      <c r="U60" s="203"/>
    </row>
    <row r="61" spans="1:21" ht="77.25" x14ac:dyDescent="0.25">
      <c r="A61" s="264"/>
      <c r="B61" s="63" t="s">
        <v>282</v>
      </c>
      <c r="C61" s="55" t="s">
        <v>230</v>
      </c>
      <c r="D61" s="98" t="s">
        <v>79</v>
      </c>
      <c r="E61" s="209">
        <v>1.0031999999999999</v>
      </c>
      <c r="F61" s="208">
        <v>769449</v>
      </c>
      <c r="G61" s="185">
        <v>1</v>
      </c>
      <c r="H61" s="126">
        <v>766995.31</v>
      </c>
      <c r="I61" s="125">
        <v>1</v>
      </c>
      <c r="J61" s="126">
        <v>762379.04</v>
      </c>
      <c r="K61" s="143">
        <f t="shared" si="1"/>
        <v>0</v>
      </c>
      <c r="L61" s="53"/>
      <c r="M61" s="20"/>
      <c r="N61" s="21"/>
      <c r="O61" s="21"/>
      <c r="P61" s="21"/>
      <c r="Q61" s="21"/>
      <c r="R61" s="21"/>
      <c r="S61" s="72"/>
      <c r="T61" s="202"/>
      <c r="U61" s="203"/>
    </row>
    <row r="62" spans="1:21" ht="51.75" x14ac:dyDescent="0.25">
      <c r="A62" s="264"/>
      <c r="B62" s="63" t="s">
        <v>283</v>
      </c>
      <c r="C62" s="55" t="s">
        <v>231</v>
      </c>
      <c r="D62" s="98" t="s">
        <v>79</v>
      </c>
      <c r="E62" s="209">
        <v>2.0063999999999997</v>
      </c>
      <c r="F62" s="208">
        <v>267522</v>
      </c>
      <c r="G62" s="185">
        <v>2</v>
      </c>
      <c r="H62" s="126">
        <v>266669.38</v>
      </c>
      <c r="I62" s="125">
        <v>2</v>
      </c>
      <c r="J62" s="126">
        <v>258654.2</v>
      </c>
      <c r="K62" s="143">
        <f t="shared" si="1"/>
        <v>0</v>
      </c>
      <c r="L62" s="53"/>
      <c r="M62" s="20"/>
      <c r="N62" s="21"/>
      <c r="O62" s="21"/>
      <c r="P62" s="21"/>
      <c r="Q62" s="21"/>
      <c r="R62" s="21"/>
      <c r="S62" s="72"/>
      <c r="T62" s="202"/>
      <c r="U62" s="203"/>
    </row>
    <row r="63" spans="1:21" ht="64.5" x14ac:dyDescent="0.25">
      <c r="A63" s="264"/>
      <c r="B63" s="63" t="s">
        <v>284</v>
      </c>
      <c r="C63" s="55" t="s">
        <v>232</v>
      </c>
      <c r="D63" s="98" t="s">
        <v>79</v>
      </c>
      <c r="E63" s="209">
        <v>52.166399999999996</v>
      </c>
      <c r="F63" s="208">
        <v>7367593</v>
      </c>
      <c r="G63" s="185">
        <v>52</v>
      </c>
      <c r="H63" s="126">
        <v>7344092.4000000004</v>
      </c>
      <c r="I63" s="125">
        <v>52</v>
      </c>
      <c r="J63" s="126">
        <v>7201740.0800000001</v>
      </c>
      <c r="K63" s="143">
        <f t="shared" si="1"/>
        <v>0</v>
      </c>
      <c r="L63" s="53"/>
      <c r="M63" s="20"/>
      <c r="N63" s="21"/>
      <c r="O63" s="21"/>
      <c r="P63" s="21"/>
      <c r="Q63" s="21"/>
      <c r="R63" s="21"/>
      <c r="S63" s="72"/>
      <c r="T63" s="202"/>
      <c r="U63" s="203"/>
    </row>
    <row r="64" spans="1:21" ht="51.75" x14ac:dyDescent="0.25">
      <c r="A64" s="264"/>
      <c r="B64" s="63" t="s">
        <v>285</v>
      </c>
      <c r="C64" s="55" t="s">
        <v>233</v>
      </c>
      <c r="D64" s="98" t="s">
        <v>79</v>
      </c>
      <c r="E64" s="209">
        <v>1246.9775999999999</v>
      </c>
      <c r="F64" s="208">
        <v>148270011</v>
      </c>
      <c r="G64" s="185">
        <f>664+579</f>
        <v>1243</v>
      </c>
      <c r="H64" s="126">
        <f>70596287.31+77200773.93</f>
        <v>147797061.24000001</v>
      </c>
      <c r="I64" s="125">
        <v>1243</v>
      </c>
      <c r="J64" s="126">
        <f>68804966.31+74880385.11-299999.91</f>
        <v>143385351.51000002</v>
      </c>
      <c r="K64" s="143">
        <f t="shared" si="1"/>
        <v>0</v>
      </c>
      <c r="L64" s="53"/>
      <c r="M64" s="20"/>
      <c r="N64" s="21"/>
      <c r="O64" s="21"/>
      <c r="P64" s="21"/>
      <c r="Q64" s="21"/>
      <c r="R64" s="21"/>
      <c r="S64" s="72"/>
      <c r="T64" s="202"/>
      <c r="U64" s="203"/>
    </row>
    <row r="65" spans="1:21" ht="64.5" x14ac:dyDescent="0.25">
      <c r="A65" s="264"/>
      <c r="B65" s="63" t="s">
        <v>286</v>
      </c>
      <c r="C65" s="55" t="s">
        <v>234</v>
      </c>
      <c r="D65" s="98" t="s">
        <v>79</v>
      </c>
      <c r="E65" s="209">
        <v>7.0223999999999993</v>
      </c>
      <c r="F65" s="208">
        <v>1395799</v>
      </c>
      <c r="G65" s="185">
        <v>7</v>
      </c>
      <c r="H65" s="126">
        <f>858008.36+533338.76</f>
        <v>1391347.12</v>
      </c>
      <c r="I65" s="125">
        <v>7</v>
      </c>
      <c r="J65" s="126">
        <f>858008.36+517308.36</f>
        <v>1375316.72</v>
      </c>
      <c r="K65" s="143">
        <f t="shared" si="1"/>
        <v>0</v>
      </c>
      <c r="L65" s="53"/>
      <c r="M65" s="20"/>
      <c r="N65" s="21"/>
      <c r="O65" s="21"/>
      <c r="P65" s="21"/>
      <c r="Q65" s="21"/>
      <c r="R65" s="21"/>
      <c r="S65" s="72"/>
      <c r="T65" s="202"/>
      <c r="U65" s="203"/>
    </row>
    <row r="66" spans="1:21" ht="39" x14ac:dyDescent="0.25">
      <c r="A66" s="264"/>
      <c r="B66" s="63" t="s">
        <v>287</v>
      </c>
      <c r="C66" s="55" t="s">
        <v>235</v>
      </c>
      <c r="D66" s="98" t="s">
        <v>79</v>
      </c>
      <c r="E66" s="209">
        <v>13.041599999999999</v>
      </c>
      <c r="F66" s="208">
        <v>3054686</v>
      </c>
      <c r="G66" s="185">
        <v>13</v>
      </c>
      <c r="H66" s="126">
        <v>3044942.63</v>
      </c>
      <c r="I66" s="125">
        <v>13</v>
      </c>
      <c r="J66" s="126">
        <v>3044942.63</v>
      </c>
      <c r="K66" s="143">
        <f t="shared" si="1"/>
        <v>0</v>
      </c>
      <c r="L66" s="53"/>
      <c r="M66" s="20"/>
      <c r="N66" s="21"/>
      <c r="O66" s="21"/>
      <c r="P66" s="21"/>
      <c r="Q66" s="21"/>
      <c r="R66" s="21"/>
      <c r="S66" s="72"/>
      <c r="T66" s="202"/>
      <c r="U66" s="203"/>
    </row>
    <row r="67" spans="1:21" ht="51.75" x14ac:dyDescent="0.25">
      <c r="A67" s="264"/>
      <c r="B67" s="63" t="s">
        <v>288</v>
      </c>
      <c r="C67" s="55" t="s">
        <v>236</v>
      </c>
      <c r="D67" s="98" t="s">
        <v>79</v>
      </c>
      <c r="E67" s="209">
        <v>1.0031999999999999</v>
      </c>
      <c r="F67" s="208">
        <v>139763</v>
      </c>
      <c r="G67" s="185">
        <v>1</v>
      </c>
      <c r="H67" s="126">
        <v>139318.14000000001</v>
      </c>
      <c r="I67" s="125">
        <v>1</v>
      </c>
      <c r="J67" s="126">
        <v>136004.19</v>
      </c>
      <c r="K67" s="143">
        <f t="shared" si="1"/>
        <v>0</v>
      </c>
      <c r="L67" s="53"/>
      <c r="M67" s="20"/>
      <c r="N67" s="21"/>
      <c r="O67" s="21"/>
      <c r="P67" s="21"/>
      <c r="Q67" s="21"/>
      <c r="R67" s="21"/>
      <c r="S67" s="72"/>
      <c r="T67" s="202"/>
      <c r="U67" s="203"/>
    </row>
    <row r="68" spans="1:21" ht="26.25" x14ac:dyDescent="0.25">
      <c r="A68" s="264"/>
      <c r="B68" s="63" t="s">
        <v>289</v>
      </c>
      <c r="C68" s="55" t="s">
        <v>237</v>
      </c>
      <c r="D68" s="98" t="s">
        <v>79</v>
      </c>
      <c r="E68" s="209">
        <v>16.051199999999998</v>
      </c>
      <c r="F68" s="208">
        <v>2140293</v>
      </c>
      <c r="G68" s="185">
        <v>16</v>
      </c>
      <c r="H68" s="126">
        <f>1600127.65+533338.76</f>
        <v>2133466.41</v>
      </c>
      <c r="I68" s="125">
        <v>16</v>
      </c>
      <c r="J68" s="126">
        <f>1576410.71+517308.36</f>
        <v>2093719.0699999998</v>
      </c>
      <c r="K68" s="143">
        <f t="shared" si="1"/>
        <v>0</v>
      </c>
      <c r="L68" s="53"/>
      <c r="M68" s="20"/>
      <c r="N68" s="21"/>
      <c r="O68" s="21"/>
      <c r="P68" s="21"/>
      <c r="Q68" s="21"/>
      <c r="R68" s="21"/>
      <c r="S68" s="72"/>
      <c r="T68" s="202"/>
      <c r="U68" s="203"/>
    </row>
    <row r="69" spans="1:21" ht="39" x14ac:dyDescent="0.25">
      <c r="A69" s="264"/>
      <c r="B69" s="63" t="s">
        <v>290</v>
      </c>
      <c r="C69" s="55" t="s">
        <v>238</v>
      </c>
      <c r="D69" s="98" t="s">
        <v>79</v>
      </c>
      <c r="E69" s="209">
        <v>5.0159999999999991</v>
      </c>
      <c r="F69" s="208">
        <v>2388933</v>
      </c>
      <c r="G69" s="185">
        <v>5</v>
      </c>
      <c r="H69" s="126">
        <v>2381312.96</v>
      </c>
      <c r="I69" s="125">
        <v>5</v>
      </c>
      <c r="J69" s="126">
        <v>2373825.4500000002</v>
      </c>
      <c r="K69" s="143">
        <f t="shared" si="1"/>
        <v>0</v>
      </c>
      <c r="L69" s="53"/>
      <c r="M69" s="20"/>
      <c r="N69" s="21"/>
      <c r="O69" s="21"/>
      <c r="P69" s="21"/>
      <c r="Q69" s="21"/>
      <c r="R69" s="21"/>
      <c r="S69" s="72"/>
      <c r="T69" s="202"/>
      <c r="U69" s="203"/>
    </row>
    <row r="70" spans="1:21" ht="26.25" x14ac:dyDescent="0.25">
      <c r="A70" s="264"/>
      <c r="B70" s="63" t="s">
        <v>291</v>
      </c>
      <c r="C70" s="55" t="s">
        <v>239</v>
      </c>
      <c r="D70" s="98" t="s">
        <v>79</v>
      </c>
      <c r="E70" s="209">
        <v>1699.4207999999999</v>
      </c>
      <c r="F70" s="208">
        <v>227228192</v>
      </c>
      <c r="G70" s="185">
        <f>1324+370</f>
        <v>1694</v>
      </c>
      <c r="H70" s="126">
        <f>174247340.04+52256042.06</f>
        <v>226503382.09999999</v>
      </c>
      <c r="I70" s="125">
        <f>1324+370</f>
        <v>1694</v>
      </c>
      <c r="J70" s="126">
        <f>170330077.93+51243150.56</f>
        <v>221573228.49000001</v>
      </c>
      <c r="K70" s="143">
        <f t="shared" si="1"/>
        <v>0</v>
      </c>
      <c r="L70" s="53"/>
      <c r="M70" s="20"/>
      <c r="N70" s="21"/>
      <c r="O70" s="21"/>
      <c r="P70" s="21"/>
      <c r="Q70" s="21"/>
      <c r="R70" s="21"/>
      <c r="S70" s="72"/>
      <c r="T70" s="202"/>
      <c r="U70" s="203"/>
    </row>
    <row r="71" spans="1:21" ht="39" x14ac:dyDescent="0.25">
      <c r="A71" s="264"/>
      <c r="B71" s="63" t="s">
        <v>292</v>
      </c>
      <c r="C71" s="55" t="s">
        <v>240</v>
      </c>
      <c r="D71" s="98" t="s">
        <v>79</v>
      </c>
      <c r="E71" s="209">
        <v>384.22559999999993</v>
      </c>
      <c r="F71" s="208">
        <v>53529596</v>
      </c>
      <c r="G71" s="185">
        <v>383</v>
      </c>
      <c r="H71" s="126">
        <v>53358848</v>
      </c>
      <c r="I71" s="125">
        <v>383</v>
      </c>
      <c r="J71" s="126">
        <v>52089604.780000001</v>
      </c>
      <c r="K71" s="143">
        <f t="shared" si="1"/>
        <v>0</v>
      </c>
      <c r="L71" s="53"/>
      <c r="M71" s="20"/>
      <c r="N71" s="21"/>
      <c r="O71" s="21"/>
      <c r="P71" s="21"/>
      <c r="Q71" s="21"/>
      <c r="R71" s="21"/>
      <c r="S71" s="72"/>
      <c r="T71" s="202"/>
      <c r="U71" s="203"/>
    </row>
    <row r="72" spans="1:21" ht="39" x14ac:dyDescent="0.25">
      <c r="A72" s="264"/>
      <c r="B72" s="63" t="s">
        <v>293</v>
      </c>
      <c r="C72" s="55" t="s">
        <v>241</v>
      </c>
      <c r="D72" s="98" t="s">
        <v>79</v>
      </c>
      <c r="E72" s="209">
        <v>27.086399999999998</v>
      </c>
      <c r="F72" s="208">
        <v>6875607</v>
      </c>
      <c r="G72" s="185">
        <v>27</v>
      </c>
      <c r="H72" s="126">
        <f>5300117.51+1553558.01</f>
        <v>6853675.5199999996</v>
      </c>
      <c r="I72" s="125">
        <v>27</v>
      </c>
      <c r="J72" s="126">
        <f>5254438.58+1523445.02</f>
        <v>6777883.5999999996</v>
      </c>
      <c r="K72" s="143">
        <f t="shared" ref="K72:K89" si="4">I72-G72</f>
        <v>0</v>
      </c>
      <c r="L72" s="53"/>
      <c r="M72" s="20"/>
      <c r="N72" s="21"/>
      <c r="O72" s="21"/>
      <c r="P72" s="21"/>
      <c r="Q72" s="21"/>
      <c r="R72" s="21"/>
      <c r="S72" s="72"/>
      <c r="T72" s="202"/>
      <c r="U72" s="203"/>
    </row>
    <row r="73" spans="1:21" ht="51.75" x14ac:dyDescent="0.25">
      <c r="A73" s="264"/>
      <c r="B73" s="63" t="s">
        <v>294</v>
      </c>
      <c r="C73" s="55" t="s">
        <v>242</v>
      </c>
      <c r="D73" s="98" t="s">
        <v>79</v>
      </c>
      <c r="E73" s="209">
        <v>1.0031999999999999</v>
      </c>
      <c r="F73" s="208">
        <v>769449</v>
      </c>
      <c r="G73" s="185">
        <v>1</v>
      </c>
      <c r="H73" s="126">
        <v>766995.31</v>
      </c>
      <c r="I73" s="125">
        <v>1</v>
      </c>
      <c r="J73" s="126">
        <v>762379.04</v>
      </c>
      <c r="K73" s="143">
        <f t="shared" si="4"/>
        <v>0</v>
      </c>
      <c r="L73" s="53"/>
      <c r="M73" s="20"/>
      <c r="N73" s="21"/>
      <c r="O73" s="21"/>
      <c r="P73" s="21"/>
      <c r="Q73" s="21"/>
      <c r="R73" s="21"/>
      <c r="S73" s="72"/>
      <c r="T73" s="202"/>
      <c r="U73" s="203"/>
    </row>
    <row r="74" spans="1:21" ht="51.75" x14ac:dyDescent="0.25">
      <c r="A74" s="264"/>
      <c r="B74" s="63" t="s">
        <v>295</v>
      </c>
      <c r="C74" s="55" t="s">
        <v>243</v>
      </c>
      <c r="D74" s="98" t="s">
        <v>79</v>
      </c>
      <c r="E74" s="209">
        <v>1.0031999999999999</v>
      </c>
      <c r="F74" s="208">
        <v>139763</v>
      </c>
      <c r="G74" s="185">
        <v>1</v>
      </c>
      <c r="H74" s="126">
        <v>139318.14000000001</v>
      </c>
      <c r="I74" s="125">
        <v>1</v>
      </c>
      <c r="J74" s="126">
        <v>136004.19</v>
      </c>
      <c r="K74" s="143">
        <f t="shared" si="4"/>
        <v>0</v>
      </c>
      <c r="L74" s="53"/>
      <c r="M74" s="20"/>
      <c r="N74" s="21"/>
      <c r="O74" s="21"/>
      <c r="P74" s="21"/>
      <c r="Q74" s="21"/>
      <c r="R74" s="21"/>
      <c r="S74" s="72"/>
      <c r="T74" s="202"/>
      <c r="U74" s="203"/>
    </row>
    <row r="75" spans="1:21" ht="90" x14ac:dyDescent="0.25">
      <c r="A75" s="264"/>
      <c r="B75" s="63" t="s">
        <v>296</v>
      </c>
      <c r="C75" s="55" t="s">
        <v>244</v>
      </c>
      <c r="D75" s="98" t="s">
        <v>79</v>
      </c>
      <c r="E75" s="209">
        <v>266.85119999999995</v>
      </c>
      <c r="F75" s="208">
        <v>35943910</v>
      </c>
      <c r="G75" s="185">
        <f>172+94</f>
        <v>266</v>
      </c>
      <c r="H75" s="126">
        <f>23295795.98+12533460.86</f>
        <v>35829256.840000004</v>
      </c>
      <c r="I75" s="125">
        <v>266</v>
      </c>
      <c r="J75" s="126">
        <f>22893827.73+12456745.52</f>
        <v>35350573.25</v>
      </c>
      <c r="K75" s="143">
        <f t="shared" si="4"/>
        <v>0</v>
      </c>
      <c r="L75" s="53"/>
      <c r="M75" s="20"/>
      <c r="N75" s="21"/>
      <c r="O75" s="21"/>
      <c r="P75" s="21"/>
      <c r="Q75" s="21"/>
      <c r="R75" s="21"/>
      <c r="S75" s="72"/>
      <c r="T75" s="202"/>
      <c r="U75" s="203"/>
    </row>
    <row r="76" spans="1:21" ht="77.25" x14ac:dyDescent="0.25">
      <c r="A76" s="264"/>
      <c r="B76" s="63" t="s">
        <v>297</v>
      </c>
      <c r="C76" s="55" t="s">
        <v>245</v>
      </c>
      <c r="D76" s="98" t="s">
        <v>79</v>
      </c>
      <c r="E76" s="209">
        <v>1.0031999999999999</v>
      </c>
      <c r="F76" s="208">
        <v>133761</v>
      </c>
      <c r="G76" s="185">
        <v>1</v>
      </c>
      <c r="H76" s="126">
        <v>133334.69</v>
      </c>
      <c r="I76" s="125">
        <v>1</v>
      </c>
      <c r="J76" s="126">
        <v>129327.08</v>
      </c>
      <c r="K76" s="143">
        <f t="shared" si="4"/>
        <v>0</v>
      </c>
      <c r="L76" s="53"/>
      <c r="M76" s="20"/>
      <c r="N76" s="21"/>
      <c r="O76" s="21"/>
      <c r="P76" s="21"/>
      <c r="Q76" s="21"/>
      <c r="R76" s="21"/>
      <c r="S76" s="72"/>
      <c r="T76" s="202"/>
      <c r="U76" s="203"/>
    </row>
    <row r="77" spans="1:21" ht="64.5" x14ac:dyDescent="0.25">
      <c r="A77" s="264"/>
      <c r="B77" s="63" t="s">
        <v>298</v>
      </c>
      <c r="C77" s="55" t="s">
        <v>246</v>
      </c>
      <c r="D77" s="98" t="s">
        <v>79</v>
      </c>
      <c r="E77" s="209">
        <v>1.0031999999999999</v>
      </c>
      <c r="F77" s="208">
        <v>133761</v>
      </c>
      <c r="G77" s="185">
        <v>1</v>
      </c>
      <c r="H77" s="126">
        <v>133334.69</v>
      </c>
      <c r="I77" s="125">
        <v>1</v>
      </c>
      <c r="J77" s="126">
        <v>129327.08</v>
      </c>
      <c r="K77" s="143">
        <f t="shared" si="4"/>
        <v>0</v>
      </c>
      <c r="L77" s="53"/>
      <c r="M77" s="20"/>
      <c r="N77" s="21"/>
      <c r="O77" s="21"/>
      <c r="P77" s="21"/>
      <c r="Q77" s="21"/>
      <c r="R77" s="21"/>
      <c r="S77" s="72"/>
      <c r="T77" s="202"/>
      <c r="U77" s="203"/>
    </row>
    <row r="78" spans="1:21" ht="51.75" customHeight="1" x14ac:dyDescent="0.25">
      <c r="A78" s="264"/>
      <c r="B78" s="63" t="s">
        <v>299</v>
      </c>
      <c r="C78" s="55" t="s">
        <v>247</v>
      </c>
      <c r="D78" s="98" t="s">
        <v>79</v>
      </c>
      <c r="E78" s="209">
        <v>217.69439999999997</v>
      </c>
      <c r="F78" s="208">
        <v>30122271</v>
      </c>
      <c r="G78" s="185">
        <f>157+60</f>
        <v>217</v>
      </c>
      <c r="H78" s="126">
        <f>21552234.68+8473952.77</f>
        <v>30026187.449999999</v>
      </c>
      <c r="I78" s="125">
        <f>157+60</f>
        <v>217</v>
      </c>
      <c r="J78" s="126">
        <f>20998801.83+8309700</f>
        <v>29308501.829999998</v>
      </c>
      <c r="K78" s="143">
        <f t="shared" si="4"/>
        <v>0</v>
      </c>
      <c r="L78" s="53"/>
      <c r="M78" s="20"/>
      <c r="N78" s="21"/>
      <c r="O78" s="21"/>
      <c r="P78" s="21"/>
      <c r="Q78" s="21"/>
      <c r="R78" s="21"/>
      <c r="S78" s="72"/>
      <c r="T78" s="202"/>
      <c r="U78" s="203"/>
    </row>
    <row r="79" spans="1:21" ht="51.75" x14ac:dyDescent="0.25">
      <c r="A79" s="264"/>
      <c r="B79" s="63" t="s">
        <v>300</v>
      </c>
      <c r="C79" s="55" t="s">
        <v>248</v>
      </c>
      <c r="D79" s="98" t="s">
        <v>79</v>
      </c>
      <c r="E79" s="209">
        <v>90.287999999999982</v>
      </c>
      <c r="F79" s="208">
        <v>18139152</v>
      </c>
      <c r="G79" s="185">
        <f>76+14</f>
        <v>90</v>
      </c>
      <c r="H79" s="126">
        <f>16214606.77+1866685.66</f>
        <v>18081292.43</v>
      </c>
      <c r="I79" s="125">
        <v>90</v>
      </c>
      <c r="J79" s="126">
        <f>16009576.06+1810579.12</f>
        <v>17820155.18</v>
      </c>
      <c r="K79" s="143">
        <f t="shared" si="4"/>
        <v>0</v>
      </c>
      <c r="L79" s="53"/>
      <c r="M79" s="20"/>
      <c r="N79" s="21"/>
      <c r="O79" s="21"/>
      <c r="P79" s="21"/>
      <c r="Q79" s="21"/>
      <c r="R79" s="21"/>
      <c r="S79" s="72"/>
      <c r="T79" s="202"/>
      <c r="U79" s="203"/>
    </row>
    <row r="80" spans="1:21" ht="26.25" x14ac:dyDescent="0.25">
      <c r="A80" s="264"/>
      <c r="B80" s="63" t="s">
        <v>301</v>
      </c>
      <c r="C80" s="55" t="s">
        <v>249</v>
      </c>
      <c r="D80" s="98" t="s">
        <v>79</v>
      </c>
      <c r="E80" s="209">
        <v>96.307199999999995</v>
      </c>
      <c r="F80" s="208">
        <v>13172298</v>
      </c>
      <c r="G80" s="185">
        <f>65+31</f>
        <v>96</v>
      </c>
      <c r="H80" s="126">
        <f>8752072.79+4378208.93</f>
        <v>13130281.719999999</v>
      </c>
      <c r="I80" s="125">
        <f>65+31</f>
        <v>96</v>
      </c>
      <c r="J80" s="126">
        <f>8526737.04+4293345.05</f>
        <v>12820082.09</v>
      </c>
      <c r="K80" s="143">
        <f t="shared" si="4"/>
        <v>0</v>
      </c>
      <c r="L80" s="53"/>
      <c r="M80" s="20"/>
      <c r="N80" s="21"/>
      <c r="O80" s="21"/>
      <c r="P80" s="21"/>
      <c r="Q80" s="21"/>
      <c r="R80" s="21"/>
      <c r="S80" s="72"/>
      <c r="T80" s="202"/>
      <c r="U80" s="203"/>
    </row>
    <row r="81" spans="1:21" ht="39" x14ac:dyDescent="0.25">
      <c r="A81" s="264"/>
      <c r="B81" s="63" t="s">
        <v>302</v>
      </c>
      <c r="C81" s="55" t="s">
        <v>250</v>
      </c>
      <c r="D81" s="98" t="s">
        <v>79</v>
      </c>
      <c r="E81" s="209">
        <v>28.089599999999997</v>
      </c>
      <c r="F81" s="208">
        <v>3913390</v>
      </c>
      <c r="G81" s="185">
        <v>28</v>
      </c>
      <c r="H81" s="126">
        <v>3900908</v>
      </c>
      <c r="I81" s="125">
        <v>28</v>
      </c>
      <c r="J81" s="126">
        <v>3808117.45</v>
      </c>
      <c r="K81" s="143">
        <f t="shared" si="4"/>
        <v>0</v>
      </c>
      <c r="L81" s="53"/>
      <c r="M81" s="20"/>
      <c r="N81" s="21"/>
      <c r="O81" s="21"/>
      <c r="P81" s="21"/>
      <c r="Q81" s="21"/>
      <c r="R81" s="21"/>
      <c r="S81" s="72"/>
      <c r="T81" s="202"/>
      <c r="U81" s="203"/>
    </row>
    <row r="82" spans="1:21" ht="39" x14ac:dyDescent="0.25">
      <c r="A82" s="264"/>
      <c r="B82" s="63" t="s">
        <v>303</v>
      </c>
      <c r="C82" s="55" t="s">
        <v>251</v>
      </c>
      <c r="D82" s="98" t="s">
        <v>79</v>
      </c>
      <c r="E82" s="209">
        <v>4.0127999999999995</v>
      </c>
      <c r="F82" s="208">
        <v>2450033</v>
      </c>
      <c r="G82" s="185">
        <v>4</v>
      </c>
      <c r="H82" s="126">
        <f>2300985.94+141232.6</f>
        <v>2442218.54</v>
      </c>
      <c r="I82" s="125">
        <v>4</v>
      </c>
      <c r="J82" s="126">
        <f>2287137.14+138495.06</f>
        <v>2425632.2000000002</v>
      </c>
      <c r="K82" s="143">
        <f t="shared" si="4"/>
        <v>0</v>
      </c>
      <c r="L82" s="53"/>
      <c r="M82" s="20"/>
      <c r="N82" s="21"/>
      <c r="O82" s="21"/>
      <c r="P82" s="21"/>
      <c r="Q82" s="21"/>
      <c r="R82" s="21"/>
      <c r="S82" s="72"/>
      <c r="T82" s="202"/>
      <c r="U82" s="203"/>
    </row>
    <row r="83" spans="1:21" ht="26.25" x14ac:dyDescent="0.25">
      <c r="A83" s="264"/>
      <c r="B83" s="63" t="s">
        <v>304</v>
      </c>
      <c r="C83" s="55" t="s">
        <v>252</v>
      </c>
      <c r="D83" s="98" t="s">
        <v>79</v>
      </c>
      <c r="E83" s="209">
        <v>572.82719999999995</v>
      </c>
      <c r="F83" s="208">
        <v>17547409</v>
      </c>
      <c r="G83" s="185">
        <v>571</v>
      </c>
      <c r="H83" s="126">
        <v>17491437.289999999</v>
      </c>
      <c r="I83" s="125">
        <v>571</v>
      </c>
      <c r="J83" s="126">
        <v>17491437.289999999</v>
      </c>
      <c r="K83" s="143">
        <f t="shared" si="4"/>
        <v>0</v>
      </c>
      <c r="L83" s="53"/>
      <c r="M83" s="20"/>
      <c r="N83" s="21"/>
      <c r="O83" s="21"/>
      <c r="P83" s="21"/>
      <c r="Q83" s="21"/>
      <c r="R83" s="21"/>
      <c r="S83" s="72"/>
      <c r="T83" s="202"/>
      <c r="U83" s="203"/>
    </row>
    <row r="84" spans="1:21" ht="63.75" x14ac:dyDescent="0.25">
      <c r="A84" s="264"/>
      <c r="B84" s="63" t="s">
        <v>305</v>
      </c>
      <c r="C84" s="163" t="s">
        <v>253</v>
      </c>
      <c r="D84" s="98" t="s">
        <v>79</v>
      </c>
      <c r="E84" s="209">
        <v>1291.1183999999998</v>
      </c>
      <c r="F84" s="208">
        <v>18682416</v>
      </c>
      <c r="G84" s="185">
        <v>1287</v>
      </c>
      <c r="H84" s="126">
        <v>18622823.280000001</v>
      </c>
      <c r="I84" s="125">
        <v>1293</v>
      </c>
      <c r="J84" s="126">
        <v>18188239.399999999</v>
      </c>
      <c r="K84" s="143">
        <f t="shared" si="4"/>
        <v>6</v>
      </c>
      <c r="L84" s="53" t="s">
        <v>326</v>
      </c>
      <c r="M84" s="20"/>
      <c r="N84" s="21"/>
      <c r="O84" s="21"/>
      <c r="P84" s="21"/>
      <c r="Q84" s="21"/>
      <c r="R84" s="21"/>
      <c r="S84" s="72"/>
      <c r="T84" s="202"/>
      <c r="U84" s="203"/>
    </row>
    <row r="85" spans="1:21" ht="26.25" x14ac:dyDescent="0.25">
      <c r="A85" s="264"/>
      <c r="B85" s="63" t="s">
        <v>306</v>
      </c>
      <c r="C85" s="55" t="s">
        <v>254</v>
      </c>
      <c r="D85" s="98" t="s">
        <v>79</v>
      </c>
      <c r="E85" s="209">
        <v>836.66879999999992</v>
      </c>
      <c r="F85" s="208">
        <v>31798494</v>
      </c>
      <c r="G85" s="185">
        <v>834</v>
      </c>
      <c r="H85" s="126">
        <v>31697064.18</v>
      </c>
      <c r="I85" s="125">
        <v>834</v>
      </c>
      <c r="J85" s="126">
        <v>25191550.079999998</v>
      </c>
      <c r="K85" s="143">
        <f t="shared" si="4"/>
        <v>0</v>
      </c>
      <c r="L85" s="53"/>
      <c r="M85" s="20"/>
      <c r="N85" s="21"/>
      <c r="O85" s="21"/>
      <c r="P85" s="21"/>
      <c r="Q85" s="21"/>
      <c r="R85" s="21"/>
      <c r="S85" s="72"/>
      <c r="T85" s="202"/>
      <c r="U85" s="203"/>
    </row>
    <row r="86" spans="1:21" x14ac:dyDescent="0.25">
      <c r="A86" s="264"/>
      <c r="B86" s="68" t="s">
        <v>315</v>
      </c>
      <c r="C86" s="55" t="s">
        <v>307</v>
      </c>
      <c r="D86" s="99" t="s">
        <v>310</v>
      </c>
      <c r="E86" s="213">
        <v>35.111999999999995</v>
      </c>
      <c r="F86" s="207">
        <v>11309467</v>
      </c>
      <c r="G86" s="185">
        <v>35</v>
      </c>
      <c r="H86" s="126">
        <v>11273393.1</v>
      </c>
      <c r="I86" s="125">
        <v>35</v>
      </c>
      <c r="J86" s="126">
        <v>10838809.210000001</v>
      </c>
      <c r="K86" s="143">
        <f t="shared" si="4"/>
        <v>0</v>
      </c>
      <c r="L86" s="53"/>
      <c r="M86" s="20"/>
      <c r="N86" s="21"/>
      <c r="O86" s="21"/>
      <c r="P86" s="21"/>
      <c r="Q86" s="21"/>
      <c r="R86" s="21"/>
      <c r="S86" s="72"/>
      <c r="T86" s="202"/>
      <c r="U86" s="203"/>
    </row>
    <row r="87" spans="1:21" x14ac:dyDescent="0.25">
      <c r="A87" s="264"/>
      <c r="B87" s="68" t="s">
        <v>316</v>
      </c>
      <c r="C87" s="55" t="s">
        <v>307</v>
      </c>
      <c r="D87" s="99" t="s">
        <v>310</v>
      </c>
      <c r="E87" s="213">
        <v>17.054399999999998</v>
      </c>
      <c r="F87" s="207">
        <v>4398126</v>
      </c>
      <c r="G87" s="185">
        <v>17</v>
      </c>
      <c r="H87" s="126">
        <v>4384097.3099999996</v>
      </c>
      <c r="I87" s="125">
        <v>17</v>
      </c>
      <c r="J87" s="126">
        <v>3949513.43</v>
      </c>
      <c r="K87" s="143">
        <f t="shared" si="4"/>
        <v>0</v>
      </c>
      <c r="L87" s="53"/>
      <c r="M87" s="20"/>
      <c r="N87" s="21"/>
      <c r="O87" s="21"/>
      <c r="P87" s="21"/>
      <c r="Q87" s="21"/>
      <c r="R87" s="21"/>
      <c r="S87" s="72"/>
      <c r="T87" s="202"/>
      <c r="U87" s="203"/>
    </row>
    <row r="88" spans="1:21" ht="77.25" x14ac:dyDescent="0.25">
      <c r="A88" s="264"/>
      <c r="B88" s="69" t="s">
        <v>317</v>
      </c>
      <c r="C88" s="55" t="s">
        <v>308</v>
      </c>
      <c r="D88" s="99" t="s">
        <v>310</v>
      </c>
      <c r="E88" s="213">
        <v>16.051199999999998</v>
      </c>
      <c r="F88" s="207">
        <v>13277712</v>
      </c>
      <c r="G88" s="185">
        <v>16</v>
      </c>
      <c r="H88" s="126">
        <v>13235359.550000001</v>
      </c>
      <c r="I88" s="125">
        <v>16</v>
      </c>
      <c r="J88" s="126">
        <v>12800775.67</v>
      </c>
      <c r="K88" s="143">
        <f t="shared" si="4"/>
        <v>0</v>
      </c>
      <c r="L88" s="53"/>
      <c r="M88" s="20"/>
      <c r="N88" s="21"/>
      <c r="O88" s="21"/>
      <c r="P88" s="21"/>
      <c r="Q88" s="21"/>
      <c r="R88" s="21"/>
      <c r="S88" s="72"/>
      <c r="T88" s="202"/>
      <c r="U88" s="203"/>
    </row>
    <row r="89" spans="1:21" ht="64.5" x14ac:dyDescent="0.25">
      <c r="A89" s="264"/>
      <c r="B89" s="68" t="s">
        <v>318</v>
      </c>
      <c r="C89" s="55" t="s">
        <v>309</v>
      </c>
      <c r="D89" s="99" t="s">
        <v>310</v>
      </c>
      <c r="E89" s="213">
        <v>45.143999999999991</v>
      </c>
      <c r="F89" s="207">
        <v>15162624</v>
      </c>
      <c r="G89" s="185">
        <v>45</v>
      </c>
      <c r="H89" s="126">
        <v>15114258.4</v>
      </c>
      <c r="I89" s="125">
        <v>45</v>
      </c>
      <c r="J89" s="126">
        <v>14679674.52</v>
      </c>
      <c r="K89" s="143">
        <f t="shared" si="4"/>
        <v>0</v>
      </c>
      <c r="L89" s="53"/>
      <c r="M89" s="20"/>
      <c r="N89" s="21"/>
      <c r="O89" s="21"/>
      <c r="P89" s="21"/>
      <c r="Q89" s="21"/>
      <c r="R89" s="21"/>
      <c r="S89" s="72"/>
      <c r="T89" s="202"/>
      <c r="U89" s="203"/>
    </row>
    <row r="90" spans="1:21" ht="15.75" thickBot="1" x14ac:dyDescent="0.3">
      <c r="A90" s="264"/>
      <c r="B90" s="61" t="s">
        <v>134</v>
      </c>
      <c r="C90" s="55" t="s">
        <v>49</v>
      </c>
      <c r="D90" s="99" t="s">
        <v>133</v>
      </c>
      <c r="E90" s="213">
        <v>0</v>
      </c>
      <c r="F90" s="207">
        <v>65982594</v>
      </c>
      <c r="G90" s="186"/>
      <c r="H90" s="124">
        <f>SUM(H91+H92+H93)</f>
        <v>65772123.350000001</v>
      </c>
      <c r="I90" s="152"/>
      <c r="J90" s="124">
        <f t="shared" ref="J90" si="5">SUM(J91+J92+J93)</f>
        <v>61772192.890000001</v>
      </c>
      <c r="K90" s="144"/>
      <c r="L90" s="53"/>
      <c r="M90" s="20"/>
      <c r="N90" s="21"/>
      <c r="O90" s="21"/>
      <c r="P90" s="21"/>
      <c r="Q90" s="21"/>
      <c r="R90" s="21"/>
      <c r="S90" s="72"/>
      <c r="T90" s="202"/>
      <c r="U90" s="203"/>
    </row>
    <row r="91" spans="1:21" ht="26.25" hidden="1" outlineLevel="1" thickBot="1" x14ac:dyDescent="0.3">
      <c r="A91" s="264"/>
      <c r="B91" s="59" t="s">
        <v>134</v>
      </c>
      <c r="C91" s="15" t="s">
        <v>201</v>
      </c>
      <c r="D91" s="94" t="s">
        <v>133</v>
      </c>
      <c r="E91" s="173"/>
      <c r="F91" s="173"/>
      <c r="G91" s="127"/>
      <c r="H91" s="128">
        <v>60756172.840000004</v>
      </c>
      <c r="I91" s="153"/>
      <c r="J91" s="128">
        <v>57049854.960000001</v>
      </c>
      <c r="K91" s="143"/>
      <c r="L91" s="161"/>
      <c r="M91" s="20"/>
      <c r="N91" s="21"/>
      <c r="O91" s="21"/>
      <c r="P91" s="21"/>
      <c r="Q91" s="21"/>
      <c r="R91" s="21"/>
      <c r="S91" s="72"/>
      <c r="T91" s="202"/>
      <c r="U91" s="203"/>
    </row>
    <row r="92" spans="1:21" ht="26.25" hidden="1" outlineLevel="1" thickBot="1" x14ac:dyDescent="0.3">
      <c r="A92" s="264"/>
      <c r="B92" s="59" t="s">
        <v>134</v>
      </c>
      <c r="C92" s="15" t="s">
        <v>202</v>
      </c>
      <c r="D92" s="94" t="s">
        <v>133</v>
      </c>
      <c r="E92" s="173"/>
      <c r="F92" s="173"/>
      <c r="G92" s="129"/>
      <c r="H92" s="115">
        <v>1698250.51</v>
      </c>
      <c r="I92" s="129"/>
      <c r="J92" s="115">
        <v>1425837.93</v>
      </c>
      <c r="K92" s="145">
        <f t="shared" ref="K92" si="6">I92-G92</f>
        <v>0</v>
      </c>
      <c r="L92" s="16"/>
      <c r="M92" s="20"/>
      <c r="N92" s="21"/>
      <c r="O92" s="21"/>
      <c r="P92" s="21"/>
      <c r="Q92" s="21"/>
      <c r="R92" s="21"/>
      <c r="S92" s="72"/>
      <c r="T92" s="202"/>
      <c r="U92" s="203"/>
    </row>
    <row r="93" spans="1:21" ht="45" hidden="1" customHeight="1" outlineLevel="1" thickBot="1" x14ac:dyDescent="0.3">
      <c r="A93" s="265"/>
      <c r="B93" s="59" t="s">
        <v>134</v>
      </c>
      <c r="C93" s="15" t="s">
        <v>203</v>
      </c>
      <c r="D93" s="94" t="s">
        <v>133</v>
      </c>
      <c r="E93" s="173"/>
      <c r="F93" s="173"/>
      <c r="G93" s="130"/>
      <c r="H93" s="113">
        <f>3324.6*1000-6900</f>
        <v>3317700</v>
      </c>
      <c r="I93" s="130"/>
      <c r="J93" s="113">
        <f>3303.4*1000-6900</f>
        <v>3296500</v>
      </c>
      <c r="K93" s="146"/>
      <c r="L93" s="54"/>
      <c r="M93" s="20"/>
      <c r="N93" s="21"/>
      <c r="O93" s="21"/>
      <c r="P93" s="21"/>
      <c r="Q93" s="21"/>
      <c r="R93" s="21"/>
      <c r="S93" s="72"/>
      <c r="T93" s="202"/>
      <c r="U93" s="203"/>
    </row>
    <row r="94" spans="1:21" ht="33" customHeight="1" collapsed="1" thickBot="1" x14ac:dyDescent="0.3">
      <c r="A94" s="262" t="s">
        <v>65</v>
      </c>
      <c r="B94" s="3" t="s">
        <v>63</v>
      </c>
      <c r="C94" s="4" t="s">
        <v>75</v>
      </c>
      <c r="D94" s="100" t="s">
        <v>63</v>
      </c>
      <c r="E94" s="214" t="s">
        <v>63</v>
      </c>
      <c r="F94" s="216">
        <v>239095600</v>
      </c>
      <c r="G94" s="3" t="s">
        <v>63</v>
      </c>
      <c r="H94" s="131">
        <f>SUM(H95:H120)</f>
        <v>242426058.50000003</v>
      </c>
      <c r="I94" s="3" t="s">
        <v>63</v>
      </c>
      <c r="J94" s="154">
        <f>SUM(J95:J120)</f>
        <v>240347138.98000005</v>
      </c>
      <c r="K94" s="102" t="s">
        <v>63</v>
      </c>
      <c r="L94" s="160" t="s">
        <v>63</v>
      </c>
      <c r="M94" s="20"/>
      <c r="N94" s="21"/>
      <c r="O94" s="21"/>
      <c r="P94" s="21"/>
      <c r="Q94" s="21"/>
      <c r="R94" s="21"/>
      <c r="S94" s="72"/>
      <c r="T94" s="202"/>
      <c r="U94" s="203"/>
    </row>
    <row r="95" spans="1:21" ht="25.5" x14ac:dyDescent="0.25">
      <c r="A95" s="263"/>
      <c r="B95" s="62" t="s">
        <v>101</v>
      </c>
      <c r="C95" s="10" t="s">
        <v>102</v>
      </c>
      <c r="D95" s="249" t="s">
        <v>79</v>
      </c>
      <c r="E95" s="250">
        <v>3945.2</v>
      </c>
      <c r="F95" s="251">
        <v>4018220</v>
      </c>
      <c r="G95" s="217">
        <v>4000</v>
      </c>
      <c r="H95" s="133">
        <v>4084179.43</v>
      </c>
      <c r="I95" s="132">
        <v>4000</v>
      </c>
      <c r="J95" s="133">
        <v>3980666.23</v>
      </c>
      <c r="K95" s="147">
        <f t="shared" ref="K95:K119" si="7">I95-G95</f>
        <v>0</v>
      </c>
      <c r="L95" s="35"/>
      <c r="M95" s="20"/>
      <c r="N95" s="21"/>
      <c r="O95" s="21"/>
      <c r="P95" s="21"/>
      <c r="Q95" s="21"/>
      <c r="R95" s="21"/>
      <c r="S95" s="72"/>
      <c r="T95" s="202"/>
      <c r="U95" s="203"/>
    </row>
    <row r="96" spans="1:21" ht="75.75" customHeight="1" x14ac:dyDescent="0.25">
      <c r="A96" s="263"/>
      <c r="B96" s="63" t="s">
        <v>103</v>
      </c>
      <c r="C96" s="163" t="s">
        <v>102</v>
      </c>
      <c r="D96" s="188" t="s">
        <v>79</v>
      </c>
      <c r="E96" s="218">
        <v>3452.0499999999997</v>
      </c>
      <c r="F96" s="219">
        <v>3524680</v>
      </c>
      <c r="G96" s="185">
        <v>3500</v>
      </c>
      <c r="H96" s="126">
        <v>3573657</v>
      </c>
      <c r="I96" s="125">
        <v>3550</v>
      </c>
      <c r="J96" s="126">
        <v>3532841.28</v>
      </c>
      <c r="K96" s="143">
        <f t="shared" si="7"/>
        <v>50</v>
      </c>
      <c r="L96" s="161" t="s">
        <v>333</v>
      </c>
      <c r="M96" s="20"/>
      <c r="N96" s="21"/>
      <c r="O96" s="21"/>
      <c r="P96" s="21"/>
      <c r="Q96" s="21"/>
      <c r="R96" s="21"/>
      <c r="S96" s="72"/>
      <c r="T96" s="202"/>
      <c r="U96" s="203"/>
    </row>
    <row r="97" spans="1:21" ht="25.5" x14ac:dyDescent="0.25">
      <c r="A97" s="263"/>
      <c r="B97" s="63" t="s">
        <v>103</v>
      </c>
      <c r="C97" s="163" t="s">
        <v>102</v>
      </c>
      <c r="D97" s="188" t="s">
        <v>104</v>
      </c>
      <c r="E97" s="218">
        <v>7.8903999999999996</v>
      </c>
      <c r="F97" s="219">
        <v>8050</v>
      </c>
      <c r="G97" s="185">
        <v>8</v>
      </c>
      <c r="H97" s="126">
        <v>8168.36</v>
      </c>
      <c r="I97" s="125">
        <v>8</v>
      </c>
      <c r="J97" s="126">
        <v>7961.33</v>
      </c>
      <c r="K97" s="143">
        <f t="shared" si="7"/>
        <v>0</v>
      </c>
      <c r="L97" s="161"/>
      <c r="M97" s="20"/>
      <c r="N97" s="21"/>
      <c r="O97" s="21"/>
      <c r="P97" s="21"/>
      <c r="Q97" s="21"/>
      <c r="R97" s="21"/>
      <c r="S97" s="72"/>
      <c r="T97" s="202"/>
      <c r="U97" s="203"/>
    </row>
    <row r="98" spans="1:21" ht="114.75" x14ac:dyDescent="0.25">
      <c r="A98" s="263"/>
      <c r="B98" s="63" t="s">
        <v>105</v>
      </c>
      <c r="C98" s="163" t="s">
        <v>106</v>
      </c>
      <c r="D98" s="188" t="s">
        <v>104</v>
      </c>
      <c r="E98" s="218">
        <v>92453.789399999994</v>
      </c>
      <c r="F98" s="219">
        <v>19107438</v>
      </c>
      <c r="G98" s="185">
        <v>93738</v>
      </c>
      <c r="H98" s="126">
        <v>19372438.579999998</v>
      </c>
      <c r="I98" s="125">
        <v>94536</v>
      </c>
      <c r="J98" s="126">
        <v>19271088.629999999</v>
      </c>
      <c r="K98" s="143">
        <f t="shared" si="7"/>
        <v>798</v>
      </c>
      <c r="L98" s="161" t="s">
        <v>334</v>
      </c>
      <c r="M98" s="20"/>
      <c r="N98" s="21"/>
      <c r="O98" s="21"/>
      <c r="P98" s="21"/>
      <c r="Q98" s="21"/>
      <c r="R98" s="21"/>
      <c r="S98" s="72"/>
      <c r="T98" s="202"/>
      <c r="U98" s="203"/>
    </row>
    <row r="99" spans="1:21" ht="25.5" x14ac:dyDescent="0.25">
      <c r="A99" s="263"/>
      <c r="B99" s="63" t="s">
        <v>107</v>
      </c>
      <c r="C99" s="163" t="s">
        <v>108</v>
      </c>
      <c r="D99" s="188" t="s">
        <v>79</v>
      </c>
      <c r="E99" s="218">
        <v>1479.4499999999998</v>
      </c>
      <c r="F99" s="219">
        <v>6300000</v>
      </c>
      <c r="G99" s="185">
        <v>1500</v>
      </c>
      <c r="H99" s="126">
        <v>6387558.2599999998</v>
      </c>
      <c r="I99" s="125">
        <v>1500</v>
      </c>
      <c r="J99" s="126">
        <v>6382615.29</v>
      </c>
      <c r="K99" s="143">
        <f t="shared" si="7"/>
        <v>0</v>
      </c>
      <c r="L99" s="161"/>
      <c r="M99" s="20"/>
      <c r="N99" s="21"/>
      <c r="O99" s="21"/>
      <c r="P99" s="21"/>
      <c r="Q99" s="21"/>
      <c r="R99" s="21"/>
      <c r="S99" s="72"/>
      <c r="T99" s="202"/>
      <c r="U99" s="203"/>
    </row>
    <row r="100" spans="1:21" ht="25.5" x14ac:dyDescent="0.25">
      <c r="A100" s="263"/>
      <c r="B100" s="63" t="s">
        <v>107</v>
      </c>
      <c r="C100" s="163" t="s">
        <v>108</v>
      </c>
      <c r="D100" s="188" t="s">
        <v>104</v>
      </c>
      <c r="E100" s="218">
        <v>19.725999999999999</v>
      </c>
      <c r="F100" s="219">
        <v>84000</v>
      </c>
      <c r="G100" s="185">
        <v>20</v>
      </c>
      <c r="H100" s="126">
        <v>85167.46</v>
      </c>
      <c r="I100" s="125">
        <v>20</v>
      </c>
      <c r="J100" s="126">
        <v>85101.55</v>
      </c>
      <c r="K100" s="143">
        <f t="shared" si="7"/>
        <v>0</v>
      </c>
      <c r="L100" s="161"/>
      <c r="M100" s="20"/>
      <c r="N100" s="21"/>
      <c r="O100" s="21"/>
      <c r="P100" s="21"/>
      <c r="Q100" s="21"/>
      <c r="R100" s="21"/>
      <c r="S100" s="72"/>
      <c r="T100" s="202"/>
      <c r="U100" s="203"/>
    </row>
    <row r="101" spans="1:21" ht="25.5" x14ac:dyDescent="0.25">
      <c r="A101" s="263"/>
      <c r="B101" s="63" t="s">
        <v>109</v>
      </c>
      <c r="C101" s="163" t="s">
        <v>110</v>
      </c>
      <c r="D101" s="188" t="s">
        <v>79</v>
      </c>
      <c r="E101" s="218">
        <v>6016.4299999999994</v>
      </c>
      <c r="F101" s="219">
        <v>25620100</v>
      </c>
      <c r="G101" s="185">
        <f>6100</f>
        <v>6100</v>
      </c>
      <c r="H101" s="126">
        <f>25976070.28</f>
        <v>25976070.280000001</v>
      </c>
      <c r="I101" s="125">
        <f>6100</f>
        <v>6100</v>
      </c>
      <c r="J101" s="126">
        <f>25955968.87</f>
        <v>25955968.870000001</v>
      </c>
      <c r="K101" s="143">
        <f t="shared" si="7"/>
        <v>0</v>
      </c>
      <c r="L101" s="161"/>
      <c r="M101" s="20"/>
      <c r="N101" s="21"/>
      <c r="O101" s="21"/>
      <c r="P101" s="21"/>
      <c r="Q101" s="21"/>
      <c r="R101" s="21"/>
      <c r="S101" s="72"/>
      <c r="T101" s="202"/>
      <c r="U101" s="203"/>
    </row>
    <row r="102" spans="1:21" ht="115.5" customHeight="1" x14ac:dyDescent="0.25">
      <c r="A102" s="263"/>
      <c r="B102" s="63" t="s">
        <v>109</v>
      </c>
      <c r="C102" s="163" t="s">
        <v>110</v>
      </c>
      <c r="D102" s="188" t="s">
        <v>79</v>
      </c>
      <c r="E102" s="218">
        <v>7397.25</v>
      </c>
      <c r="F102" s="219">
        <v>33713800</v>
      </c>
      <c r="G102" s="185">
        <f>7500</f>
        <v>7500</v>
      </c>
      <c r="H102" s="126">
        <f>34182156.3</f>
        <v>34182156.299999997</v>
      </c>
      <c r="I102" s="125">
        <f>7629</f>
        <v>7629</v>
      </c>
      <c r="J102" s="126">
        <f>34022132.93</f>
        <v>34022132.93</v>
      </c>
      <c r="K102" s="143">
        <f t="shared" si="7"/>
        <v>129</v>
      </c>
      <c r="L102" s="161" t="s">
        <v>335</v>
      </c>
      <c r="M102" s="20"/>
      <c r="N102" s="21"/>
      <c r="O102" s="21"/>
      <c r="P102" s="21"/>
      <c r="Q102" s="21"/>
      <c r="R102" s="21"/>
      <c r="S102" s="72"/>
      <c r="T102" s="202"/>
      <c r="U102" s="203"/>
    </row>
    <row r="103" spans="1:21" ht="102" x14ac:dyDescent="0.25">
      <c r="A103" s="263"/>
      <c r="B103" s="63" t="s">
        <v>111</v>
      </c>
      <c r="C103" s="163" t="s">
        <v>112</v>
      </c>
      <c r="D103" s="188" t="s">
        <v>79</v>
      </c>
      <c r="E103" s="218">
        <v>4142.46</v>
      </c>
      <c r="F103" s="219">
        <v>5209800</v>
      </c>
      <c r="G103" s="185">
        <v>4200</v>
      </c>
      <c r="H103" s="126">
        <v>5282238.6399999997</v>
      </c>
      <c r="I103" s="125">
        <v>4287</v>
      </c>
      <c r="J103" s="126">
        <v>5257509.9000000004</v>
      </c>
      <c r="K103" s="143">
        <f t="shared" si="7"/>
        <v>87</v>
      </c>
      <c r="L103" s="161" t="s">
        <v>336</v>
      </c>
      <c r="M103" s="20"/>
      <c r="N103" s="21"/>
      <c r="O103" s="21"/>
      <c r="P103" s="21"/>
      <c r="Q103" s="21"/>
      <c r="R103" s="21"/>
      <c r="S103" s="72"/>
      <c r="T103" s="202"/>
      <c r="U103" s="203"/>
    </row>
    <row r="104" spans="1:21" ht="51" x14ac:dyDescent="0.25">
      <c r="A104" s="263"/>
      <c r="B104" s="63" t="s">
        <v>113</v>
      </c>
      <c r="C104" s="163" t="s">
        <v>114</v>
      </c>
      <c r="D104" s="188" t="s">
        <v>79</v>
      </c>
      <c r="E104" s="218">
        <v>1.9725999999999999</v>
      </c>
      <c r="F104" s="219">
        <v>2014</v>
      </c>
      <c r="G104" s="185">
        <v>2</v>
      </c>
      <c r="H104" s="126">
        <v>2042.09</v>
      </c>
      <c r="I104" s="125">
        <v>2</v>
      </c>
      <c r="J104" s="126">
        <v>1990.33</v>
      </c>
      <c r="K104" s="143">
        <f t="shared" si="7"/>
        <v>0</v>
      </c>
      <c r="L104" s="161"/>
      <c r="M104" s="20"/>
      <c r="N104" s="21"/>
      <c r="O104" s="21"/>
      <c r="P104" s="21"/>
      <c r="Q104" s="21"/>
      <c r="R104" s="21"/>
      <c r="S104" s="72"/>
      <c r="T104" s="202"/>
      <c r="U104" s="203"/>
    </row>
    <row r="105" spans="1:21" x14ac:dyDescent="0.25">
      <c r="A105" s="263"/>
      <c r="B105" s="63" t="s">
        <v>115</v>
      </c>
      <c r="C105" s="163" t="s">
        <v>116</v>
      </c>
      <c r="D105" s="188" t="s">
        <v>79</v>
      </c>
      <c r="E105" s="218">
        <v>2465.75</v>
      </c>
      <c r="F105" s="219">
        <v>2517600</v>
      </c>
      <c r="G105" s="185">
        <v>2500</v>
      </c>
      <c r="H105" s="126">
        <v>2552612.14</v>
      </c>
      <c r="I105" s="125">
        <v>2500</v>
      </c>
      <c r="J105" s="126">
        <v>2487916.39</v>
      </c>
      <c r="K105" s="143">
        <f t="shared" si="7"/>
        <v>0</v>
      </c>
      <c r="L105" s="161"/>
      <c r="M105" s="20"/>
      <c r="N105" s="21"/>
      <c r="O105" s="21"/>
      <c r="P105" s="21"/>
      <c r="Q105" s="21"/>
      <c r="R105" s="21"/>
      <c r="S105" s="72"/>
      <c r="T105" s="202"/>
      <c r="U105" s="203"/>
    </row>
    <row r="106" spans="1:21" ht="25.5" x14ac:dyDescent="0.25">
      <c r="A106" s="263"/>
      <c r="B106" s="63" t="s">
        <v>117</v>
      </c>
      <c r="C106" s="163" t="s">
        <v>118</v>
      </c>
      <c r="D106" s="188" t="s">
        <v>79</v>
      </c>
      <c r="E106" s="218">
        <v>41.424599999999998</v>
      </c>
      <c r="F106" s="219">
        <v>42296</v>
      </c>
      <c r="G106" s="185">
        <v>42</v>
      </c>
      <c r="H106" s="126">
        <v>42883.88</v>
      </c>
      <c r="I106" s="125">
        <v>42</v>
      </c>
      <c r="J106" s="126">
        <v>41797</v>
      </c>
      <c r="K106" s="143">
        <f t="shared" si="7"/>
        <v>0</v>
      </c>
      <c r="L106" s="161"/>
      <c r="M106" s="20"/>
      <c r="N106" s="21"/>
      <c r="O106" s="21"/>
      <c r="P106" s="21"/>
      <c r="Q106" s="21"/>
      <c r="R106" s="21"/>
      <c r="S106" s="72"/>
      <c r="T106" s="202"/>
      <c r="U106" s="203"/>
    </row>
    <row r="107" spans="1:21" ht="63.75" x14ac:dyDescent="0.25">
      <c r="A107" s="263"/>
      <c r="B107" s="266" t="s">
        <v>119</v>
      </c>
      <c r="C107" s="268" t="s">
        <v>120</v>
      </c>
      <c r="D107" s="188" t="s">
        <v>79</v>
      </c>
      <c r="E107" s="218">
        <v>17260.25</v>
      </c>
      <c r="F107" s="219">
        <v>17623400</v>
      </c>
      <c r="G107" s="185">
        <v>17500</v>
      </c>
      <c r="H107" s="126">
        <v>17868285</v>
      </c>
      <c r="I107" s="125">
        <v>17578</v>
      </c>
      <c r="J107" s="126">
        <v>17493037.75</v>
      </c>
      <c r="K107" s="143">
        <f t="shared" si="7"/>
        <v>78</v>
      </c>
      <c r="L107" s="161" t="s">
        <v>337</v>
      </c>
      <c r="M107" s="20"/>
      <c r="N107" s="21"/>
      <c r="O107" s="21"/>
      <c r="P107" s="21"/>
      <c r="Q107" s="21"/>
      <c r="R107" s="21"/>
      <c r="S107" s="72"/>
      <c r="T107" s="202"/>
      <c r="U107" s="203"/>
    </row>
    <row r="108" spans="1:21" x14ac:dyDescent="0.25">
      <c r="A108" s="263"/>
      <c r="B108" s="267"/>
      <c r="C108" s="269"/>
      <c r="D108" s="188" t="s">
        <v>121</v>
      </c>
      <c r="E108" s="218">
        <v>866.95769999999993</v>
      </c>
      <c r="F108" s="219">
        <v>885202</v>
      </c>
      <c r="G108" s="185">
        <v>879</v>
      </c>
      <c r="H108" s="126">
        <v>897498.43</v>
      </c>
      <c r="I108" s="125">
        <v>879</v>
      </c>
      <c r="J108" s="126">
        <v>874751.4</v>
      </c>
      <c r="K108" s="143">
        <f t="shared" si="7"/>
        <v>0</v>
      </c>
      <c r="L108" s="161"/>
      <c r="M108" s="20"/>
      <c r="N108" s="21"/>
      <c r="O108" s="21"/>
      <c r="P108" s="21"/>
      <c r="Q108" s="21"/>
      <c r="R108" s="21"/>
      <c r="S108" s="72"/>
      <c r="T108" s="202"/>
      <c r="U108" s="203"/>
    </row>
    <row r="109" spans="1:21" ht="51" x14ac:dyDescent="0.25">
      <c r="A109" s="263"/>
      <c r="B109" s="63" t="s">
        <v>122</v>
      </c>
      <c r="C109" s="163" t="s">
        <v>123</v>
      </c>
      <c r="D109" s="188" t="s">
        <v>79</v>
      </c>
      <c r="E109" s="218">
        <v>18838.329999999998</v>
      </c>
      <c r="F109" s="219">
        <v>19234700</v>
      </c>
      <c r="G109" s="185">
        <v>19100</v>
      </c>
      <c r="H109" s="126">
        <v>19501956.77</v>
      </c>
      <c r="I109" s="125">
        <v>19144</v>
      </c>
      <c r="J109" s="126">
        <v>19051468.579999998</v>
      </c>
      <c r="K109" s="143">
        <f t="shared" si="7"/>
        <v>44</v>
      </c>
      <c r="L109" s="161" t="s">
        <v>338</v>
      </c>
      <c r="M109" s="20"/>
      <c r="N109" s="21"/>
      <c r="O109" s="21"/>
      <c r="P109" s="21"/>
      <c r="Q109" s="21"/>
      <c r="R109" s="21"/>
      <c r="S109" s="72"/>
      <c r="T109" s="202"/>
      <c r="U109" s="203"/>
    </row>
    <row r="110" spans="1:21" ht="25.5" x14ac:dyDescent="0.25">
      <c r="A110" s="263"/>
      <c r="B110" s="67" t="s">
        <v>311</v>
      </c>
      <c r="C110" s="163" t="s">
        <v>312</v>
      </c>
      <c r="D110" s="188" t="s">
        <v>104</v>
      </c>
      <c r="E110" s="218">
        <v>39.451999999999998</v>
      </c>
      <c r="F110" s="219">
        <v>6673004</v>
      </c>
      <c r="G110" s="185">
        <v>40</v>
      </c>
      <c r="H110" s="126">
        <v>6765694.4900000002</v>
      </c>
      <c r="I110" s="125">
        <v>40</v>
      </c>
      <c r="J110" s="126">
        <v>6734020.9699999997</v>
      </c>
      <c r="K110" s="143">
        <f t="shared" si="7"/>
        <v>0</v>
      </c>
      <c r="L110" s="161"/>
      <c r="M110" s="20"/>
      <c r="N110" s="21"/>
      <c r="O110" s="21"/>
      <c r="P110" s="21"/>
      <c r="Q110" s="21"/>
      <c r="R110" s="21"/>
      <c r="S110" s="72"/>
      <c r="T110" s="202"/>
      <c r="U110" s="203"/>
    </row>
    <row r="111" spans="1:21" ht="127.5" customHeight="1" x14ac:dyDescent="0.25">
      <c r="A111" s="263"/>
      <c r="B111" s="67" t="s">
        <v>311</v>
      </c>
      <c r="C111" s="163" t="s">
        <v>312</v>
      </c>
      <c r="D111" s="188" t="s">
        <v>79</v>
      </c>
      <c r="E111" s="218">
        <v>577.97180000000003</v>
      </c>
      <c r="F111" s="219">
        <v>6673004</v>
      </c>
      <c r="G111" s="185">
        <v>586</v>
      </c>
      <c r="H111" s="126">
        <v>6765694.4900000002</v>
      </c>
      <c r="I111" s="125">
        <v>601</v>
      </c>
      <c r="J111" s="126">
        <v>6734020.9699999997</v>
      </c>
      <c r="K111" s="143">
        <f t="shared" si="7"/>
        <v>15</v>
      </c>
      <c r="L111" s="161" t="s">
        <v>339</v>
      </c>
      <c r="M111" s="20"/>
      <c r="N111" s="21"/>
      <c r="O111" s="21"/>
      <c r="P111" s="21"/>
      <c r="Q111" s="21"/>
      <c r="R111" s="21"/>
      <c r="S111" s="72"/>
      <c r="T111" s="202"/>
      <c r="U111" s="203"/>
    </row>
    <row r="112" spans="1:21" ht="102" x14ac:dyDescent="0.25">
      <c r="A112" s="263"/>
      <c r="B112" s="67" t="s">
        <v>313</v>
      </c>
      <c r="C112" s="163" t="s">
        <v>314</v>
      </c>
      <c r="D112" s="188" t="s">
        <v>104</v>
      </c>
      <c r="E112" s="218">
        <v>107.5067</v>
      </c>
      <c r="F112" s="219">
        <v>14870070</v>
      </c>
      <c r="G112" s="185">
        <v>109</v>
      </c>
      <c r="H112" s="126">
        <v>15076620.49</v>
      </c>
      <c r="I112" s="125">
        <v>107</v>
      </c>
      <c r="J112" s="126">
        <v>15006039.470000001</v>
      </c>
      <c r="K112" s="143">
        <f t="shared" si="7"/>
        <v>-2</v>
      </c>
      <c r="L112" s="161" t="s">
        <v>340</v>
      </c>
      <c r="M112" s="20"/>
      <c r="N112" s="21"/>
      <c r="O112" s="21"/>
      <c r="P112" s="21"/>
      <c r="Q112" s="21"/>
      <c r="R112" s="21"/>
      <c r="S112" s="72"/>
      <c r="T112" s="202"/>
      <c r="U112" s="203"/>
    </row>
    <row r="113" spans="1:21" ht="63.75" x14ac:dyDescent="0.25">
      <c r="A113" s="263"/>
      <c r="B113" s="63" t="s">
        <v>124</v>
      </c>
      <c r="C113" s="163" t="s">
        <v>125</v>
      </c>
      <c r="D113" s="188" t="s">
        <v>104</v>
      </c>
      <c r="E113" s="218">
        <v>22.684899999999999</v>
      </c>
      <c r="F113" s="219">
        <v>2025914</v>
      </c>
      <c r="G113" s="185">
        <v>23</v>
      </c>
      <c r="H113" s="126">
        <v>2054054.57</v>
      </c>
      <c r="I113" s="125">
        <v>22</v>
      </c>
      <c r="J113" s="126">
        <v>2044438.53</v>
      </c>
      <c r="K113" s="143">
        <f t="shared" si="7"/>
        <v>-1</v>
      </c>
      <c r="L113" s="161" t="s">
        <v>341</v>
      </c>
      <c r="M113" s="20"/>
      <c r="N113" s="21"/>
      <c r="O113" s="21"/>
      <c r="P113" s="21"/>
      <c r="Q113" s="21"/>
      <c r="R113" s="21"/>
      <c r="S113" s="72"/>
      <c r="T113" s="202"/>
      <c r="U113" s="203"/>
    </row>
    <row r="114" spans="1:21" ht="76.5" x14ac:dyDescent="0.25">
      <c r="A114" s="263"/>
      <c r="B114" s="63" t="s">
        <v>124</v>
      </c>
      <c r="C114" s="163" t="s">
        <v>126</v>
      </c>
      <c r="D114" s="188" t="s">
        <v>79</v>
      </c>
      <c r="E114" s="218">
        <v>2307.942</v>
      </c>
      <c r="F114" s="219">
        <v>2025914</v>
      </c>
      <c r="G114" s="185">
        <v>2340</v>
      </c>
      <c r="H114" s="126">
        <v>2054054.57</v>
      </c>
      <c r="I114" s="125">
        <v>2445</v>
      </c>
      <c r="J114" s="126">
        <v>2044438.55</v>
      </c>
      <c r="K114" s="143">
        <f t="shared" si="7"/>
        <v>105</v>
      </c>
      <c r="L114" s="161" t="s">
        <v>342</v>
      </c>
      <c r="M114" s="20"/>
      <c r="N114" s="21"/>
      <c r="O114" s="21"/>
      <c r="P114" s="21"/>
      <c r="Q114" s="21"/>
      <c r="R114" s="21"/>
      <c r="S114" s="72"/>
      <c r="T114" s="202"/>
      <c r="U114" s="203"/>
    </row>
    <row r="115" spans="1:21" ht="89.25" customHeight="1" x14ac:dyDescent="0.25">
      <c r="A115" s="263"/>
      <c r="B115" s="63" t="s">
        <v>127</v>
      </c>
      <c r="C115" s="163" t="s">
        <v>128</v>
      </c>
      <c r="D115" s="188" t="s">
        <v>104</v>
      </c>
      <c r="E115" s="218">
        <v>39.451999999999998</v>
      </c>
      <c r="F115" s="219">
        <v>887424</v>
      </c>
      <c r="G115" s="185">
        <v>40</v>
      </c>
      <c r="H115" s="126">
        <v>899751.51</v>
      </c>
      <c r="I115" s="125">
        <v>41</v>
      </c>
      <c r="J115" s="126">
        <v>895539.33</v>
      </c>
      <c r="K115" s="143">
        <f t="shared" si="7"/>
        <v>1</v>
      </c>
      <c r="L115" s="260" t="s">
        <v>343</v>
      </c>
      <c r="M115" s="20"/>
      <c r="N115" s="21"/>
      <c r="O115" s="21"/>
      <c r="P115" s="21"/>
      <c r="Q115" s="21"/>
      <c r="R115" s="21"/>
      <c r="S115" s="21"/>
      <c r="T115" s="202"/>
      <c r="U115" s="203"/>
    </row>
    <row r="116" spans="1:21" ht="19.5" customHeight="1" x14ac:dyDescent="0.25">
      <c r="A116" s="263"/>
      <c r="B116" s="63" t="s">
        <v>127</v>
      </c>
      <c r="C116" s="163" t="s">
        <v>128</v>
      </c>
      <c r="D116" s="188" t="s">
        <v>79</v>
      </c>
      <c r="E116" s="218">
        <v>3156.16</v>
      </c>
      <c r="F116" s="219">
        <v>887424</v>
      </c>
      <c r="G116" s="185">
        <v>3200</v>
      </c>
      <c r="H116" s="126">
        <v>899751.51</v>
      </c>
      <c r="I116" s="125">
        <v>3213</v>
      </c>
      <c r="J116" s="126">
        <v>895539.33</v>
      </c>
      <c r="K116" s="143">
        <f t="shared" si="7"/>
        <v>13</v>
      </c>
      <c r="L116" s="261"/>
      <c r="M116" s="20"/>
      <c r="N116" s="21"/>
      <c r="O116" s="21"/>
      <c r="P116" s="21"/>
      <c r="Q116" s="21"/>
      <c r="R116" s="21"/>
      <c r="S116" s="21"/>
      <c r="T116" s="202"/>
      <c r="U116" s="203"/>
    </row>
    <row r="117" spans="1:21" ht="140.25" x14ac:dyDescent="0.25">
      <c r="A117" s="263"/>
      <c r="B117" s="63" t="s">
        <v>129</v>
      </c>
      <c r="C117" s="163" t="s">
        <v>130</v>
      </c>
      <c r="D117" s="188" t="s">
        <v>104</v>
      </c>
      <c r="E117" s="218">
        <v>162.73949999999999</v>
      </c>
      <c r="F117" s="219">
        <v>12068481</v>
      </c>
      <c r="G117" s="185">
        <v>165</v>
      </c>
      <c r="H117" s="126">
        <v>12236116.460000001</v>
      </c>
      <c r="I117" s="125">
        <v>162</v>
      </c>
      <c r="J117" s="126">
        <v>12178833.220000001</v>
      </c>
      <c r="K117" s="143">
        <f t="shared" si="7"/>
        <v>-3</v>
      </c>
      <c r="L117" s="161" t="s">
        <v>344</v>
      </c>
      <c r="M117" s="20"/>
      <c r="N117" s="21"/>
      <c r="O117" s="21"/>
      <c r="P117" s="21"/>
      <c r="Q117" s="21"/>
      <c r="R117" s="21"/>
      <c r="S117" s="21"/>
      <c r="T117" s="202"/>
      <c r="U117" s="203"/>
    </row>
    <row r="118" spans="1:21" ht="92.25" customHeight="1" x14ac:dyDescent="0.25">
      <c r="A118" s="263"/>
      <c r="B118" s="63" t="s">
        <v>129</v>
      </c>
      <c r="C118" s="163" t="s">
        <v>130</v>
      </c>
      <c r="D118" s="188" t="s">
        <v>79</v>
      </c>
      <c r="E118" s="218">
        <v>72986.2</v>
      </c>
      <c r="F118" s="219">
        <v>12068481</v>
      </c>
      <c r="G118" s="185">
        <v>74000</v>
      </c>
      <c r="H118" s="126">
        <v>12236116.460000001</v>
      </c>
      <c r="I118" s="125">
        <v>72825</v>
      </c>
      <c r="J118" s="126">
        <v>12178833.220000001</v>
      </c>
      <c r="K118" s="143">
        <f t="shared" si="7"/>
        <v>-1175</v>
      </c>
      <c r="L118" s="161" t="s">
        <v>345</v>
      </c>
      <c r="M118" s="20"/>
      <c r="N118" s="21"/>
      <c r="O118" s="21"/>
      <c r="P118" s="21"/>
      <c r="Q118" s="21"/>
      <c r="R118" s="21"/>
      <c r="S118" s="21"/>
      <c r="T118" s="202"/>
      <c r="U118" s="203"/>
    </row>
    <row r="119" spans="1:21" ht="102" x14ac:dyDescent="0.25">
      <c r="A119" s="263"/>
      <c r="B119" s="63" t="s">
        <v>131</v>
      </c>
      <c r="C119" s="163" t="s">
        <v>132</v>
      </c>
      <c r="D119" s="188" t="s">
        <v>104</v>
      </c>
      <c r="E119" s="218">
        <v>168657.3</v>
      </c>
      <c r="F119" s="219">
        <v>34856600</v>
      </c>
      <c r="G119" s="185">
        <v>171000</v>
      </c>
      <c r="H119" s="126">
        <v>35339851.469999999</v>
      </c>
      <c r="I119" s="125">
        <v>171956</v>
      </c>
      <c r="J119" s="126">
        <v>35053094.219999999</v>
      </c>
      <c r="K119" s="143">
        <f t="shared" si="7"/>
        <v>956</v>
      </c>
      <c r="L119" s="161" t="s">
        <v>346</v>
      </c>
      <c r="M119" s="20"/>
      <c r="N119" s="21"/>
      <c r="O119" s="21"/>
      <c r="P119" s="21"/>
      <c r="Q119" s="21"/>
      <c r="R119" s="21"/>
      <c r="S119" s="21"/>
      <c r="T119" s="202"/>
      <c r="U119" s="203"/>
    </row>
    <row r="120" spans="1:21" ht="15.75" thickBot="1" x14ac:dyDescent="0.3">
      <c r="A120" s="263"/>
      <c r="B120" s="241"/>
      <c r="C120" s="242" t="s">
        <v>49</v>
      </c>
      <c r="D120" s="237" t="s">
        <v>133</v>
      </c>
      <c r="E120" s="243">
        <v>0</v>
      </c>
      <c r="F120" s="244">
        <v>8167984</v>
      </c>
      <c r="G120" s="245"/>
      <c r="H120" s="246">
        <v>8281439.8600000003</v>
      </c>
      <c r="I120" s="247"/>
      <c r="J120" s="246">
        <v>8135493.71</v>
      </c>
      <c r="K120" s="227"/>
      <c r="L120" s="248"/>
      <c r="M120" s="20"/>
      <c r="N120" s="21"/>
      <c r="O120" s="21"/>
      <c r="P120" s="21"/>
      <c r="Q120" s="21"/>
      <c r="R120" s="21"/>
      <c r="S120" s="21"/>
      <c r="T120" s="202"/>
      <c r="U120" s="203"/>
    </row>
    <row r="121" spans="1:21" ht="33" customHeight="1" thickBot="1" x14ac:dyDescent="0.3">
      <c r="A121" s="262" t="s">
        <v>64</v>
      </c>
      <c r="B121" s="3" t="s">
        <v>63</v>
      </c>
      <c r="C121" s="4" t="s">
        <v>75</v>
      </c>
      <c r="D121" s="100" t="s">
        <v>63</v>
      </c>
      <c r="E121" s="3" t="s">
        <v>63</v>
      </c>
      <c r="F121" s="3" t="s">
        <v>63</v>
      </c>
      <c r="G121" s="102" t="s">
        <v>63</v>
      </c>
      <c r="H121" s="131">
        <f>SUM(H122:H155)</f>
        <v>59317043.773369551</v>
      </c>
      <c r="I121" s="3" t="s">
        <v>63</v>
      </c>
      <c r="J121" s="131">
        <f>SUM(J122:J155)</f>
        <v>58546638.089130446</v>
      </c>
      <c r="K121" s="102" t="s">
        <v>63</v>
      </c>
      <c r="L121" s="160" t="s">
        <v>63</v>
      </c>
      <c r="M121" s="20"/>
      <c r="N121" s="21"/>
      <c r="O121" s="21"/>
      <c r="P121" s="21"/>
      <c r="Q121" s="21"/>
      <c r="R121" s="21"/>
      <c r="S121" s="21"/>
      <c r="T121" s="202"/>
      <c r="U121" s="203"/>
    </row>
    <row r="122" spans="1:21" ht="26.25" x14ac:dyDescent="0.25">
      <c r="A122" s="263"/>
      <c r="B122" s="17"/>
      <c r="C122" s="58" t="s">
        <v>193</v>
      </c>
      <c r="D122" s="101"/>
      <c r="E122" s="188" t="s">
        <v>354</v>
      </c>
      <c r="F122" s="188" t="s">
        <v>354</v>
      </c>
      <c r="G122" s="183"/>
      <c r="H122" s="122"/>
      <c r="I122" s="121"/>
      <c r="J122" s="126"/>
      <c r="K122" s="148"/>
      <c r="L122" s="25"/>
      <c r="M122" s="20"/>
      <c r="N122" s="21"/>
      <c r="O122" s="21"/>
      <c r="P122" s="21"/>
      <c r="Q122" s="21"/>
      <c r="R122" s="21"/>
      <c r="S122" s="21"/>
      <c r="T122" s="202"/>
      <c r="U122" s="203"/>
    </row>
    <row r="123" spans="1:21" x14ac:dyDescent="0.25">
      <c r="A123" s="263"/>
      <c r="B123" s="14" t="s">
        <v>146</v>
      </c>
      <c r="C123" s="73" t="s">
        <v>147</v>
      </c>
      <c r="D123" s="101" t="s">
        <v>79</v>
      </c>
      <c r="E123" s="188" t="s">
        <v>354</v>
      </c>
      <c r="F123" s="188" t="s">
        <v>354</v>
      </c>
      <c r="G123" s="183">
        <v>21</v>
      </c>
      <c r="H123" s="124">
        <v>2117497.3426630436</v>
      </c>
      <c r="I123" s="134">
        <v>21</v>
      </c>
      <c r="J123" s="126">
        <v>2044846.5780978259</v>
      </c>
      <c r="K123" s="143">
        <f t="shared" ref="K123:K160" si="8">I123-G123</f>
        <v>0</v>
      </c>
      <c r="L123" s="26"/>
      <c r="M123" s="20"/>
      <c r="N123" s="21"/>
      <c r="O123" s="21"/>
      <c r="P123" s="21"/>
      <c r="Q123" s="21"/>
      <c r="R123" s="21"/>
      <c r="S123" s="21"/>
      <c r="T123" s="202"/>
      <c r="U123" s="203"/>
    </row>
    <row r="124" spans="1:21" x14ac:dyDescent="0.25">
      <c r="A124" s="263"/>
      <c r="B124" s="14" t="s">
        <v>148</v>
      </c>
      <c r="C124" s="74" t="s">
        <v>149</v>
      </c>
      <c r="D124" s="101" t="s">
        <v>79</v>
      </c>
      <c r="E124" s="188" t="s">
        <v>354</v>
      </c>
      <c r="F124" s="188" t="s">
        <v>354</v>
      </c>
      <c r="G124" s="183">
        <v>26</v>
      </c>
      <c r="H124" s="124">
        <v>2621628.98</v>
      </c>
      <c r="I124" s="134">
        <v>26</v>
      </c>
      <c r="J124" s="126">
        <v>2531714.8109782608</v>
      </c>
      <c r="K124" s="143">
        <f t="shared" si="8"/>
        <v>0</v>
      </c>
      <c r="L124" s="26"/>
      <c r="M124" s="20"/>
      <c r="N124" s="21"/>
      <c r="O124" s="21"/>
      <c r="P124" s="21"/>
      <c r="Q124" s="21"/>
      <c r="R124" s="21"/>
      <c r="S124" s="21"/>
      <c r="T124" s="202"/>
      <c r="U124" s="203"/>
    </row>
    <row r="125" spans="1:21" x14ac:dyDescent="0.25">
      <c r="A125" s="263"/>
      <c r="B125" s="13" t="s">
        <v>150</v>
      </c>
      <c r="C125" s="74" t="s">
        <v>151</v>
      </c>
      <c r="D125" s="101" t="s">
        <v>79</v>
      </c>
      <c r="E125" s="188" t="s">
        <v>354</v>
      </c>
      <c r="F125" s="188" t="s">
        <v>354</v>
      </c>
      <c r="G125" s="183">
        <v>35</v>
      </c>
      <c r="H125" s="124">
        <v>3529162.2377717393</v>
      </c>
      <c r="I125" s="134">
        <v>35</v>
      </c>
      <c r="J125" s="126">
        <v>3408077.6301630433</v>
      </c>
      <c r="K125" s="143">
        <f t="shared" si="8"/>
        <v>0</v>
      </c>
      <c r="L125" s="26"/>
      <c r="M125" s="20"/>
      <c r="N125" s="21"/>
      <c r="O125" s="21"/>
      <c r="P125" s="21"/>
      <c r="Q125" s="21"/>
      <c r="R125" s="21"/>
      <c r="S125" s="21"/>
      <c r="T125" s="202"/>
      <c r="U125" s="203"/>
    </row>
    <row r="126" spans="1:21" x14ac:dyDescent="0.25">
      <c r="A126" s="263"/>
      <c r="B126" s="14" t="s">
        <v>152</v>
      </c>
      <c r="C126" s="74" t="s">
        <v>153</v>
      </c>
      <c r="D126" s="101" t="s">
        <v>79</v>
      </c>
      <c r="E126" s="188" t="s">
        <v>354</v>
      </c>
      <c r="F126" s="188" t="s">
        <v>354</v>
      </c>
      <c r="G126" s="183">
        <v>64</v>
      </c>
      <c r="H126" s="124">
        <v>6453325.2347826092</v>
      </c>
      <c r="I126" s="134">
        <v>64</v>
      </c>
      <c r="J126" s="155">
        <v>6396730.3899999997</v>
      </c>
      <c r="K126" s="143">
        <f t="shared" si="8"/>
        <v>0</v>
      </c>
      <c r="L126" s="26"/>
      <c r="M126" s="20"/>
      <c r="N126" s="21"/>
      <c r="O126" s="21"/>
      <c r="P126" s="21"/>
      <c r="Q126" s="21"/>
      <c r="R126" s="21"/>
      <c r="S126" s="21"/>
      <c r="T126" s="202"/>
      <c r="U126" s="203"/>
    </row>
    <row r="127" spans="1:21" x14ac:dyDescent="0.25">
      <c r="A127" s="263"/>
      <c r="B127" s="14" t="s">
        <v>154</v>
      </c>
      <c r="C127" s="74" t="s">
        <v>155</v>
      </c>
      <c r="D127" s="101" t="s">
        <v>79</v>
      </c>
      <c r="E127" s="188" t="s">
        <v>354</v>
      </c>
      <c r="F127" s="188" t="s">
        <v>354</v>
      </c>
      <c r="G127" s="183">
        <v>7</v>
      </c>
      <c r="H127" s="124">
        <v>705832.44755434792</v>
      </c>
      <c r="I127" s="134">
        <v>7</v>
      </c>
      <c r="J127" s="126">
        <v>681615.52603260858</v>
      </c>
      <c r="K127" s="143">
        <f t="shared" si="8"/>
        <v>0</v>
      </c>
      <c r="L127" s="27"/>
      <c r="M127" s="20"/>
      <c r="N127" s="21"/>
      <c r="O127" s="21"/>
      <c r="P127" s="21"/>
      <c r="Q127" s="21"/>
      <c r="R127" s="21"/>
      <c r="S127" s="21"/>
      <c r="T127" s="202"/>
      <c r="U127" s="203"/>
    </row>
    <row r="128" spans="1:21" ht="26.25" x14ac:dyDescent="0.25">
      <c r="A128" s="263"/>
      <c r="B128" s="13" t="s">
        <v>156</v>
      </c>
      <c r="C128" s="74" t="s">
        <v>157</v>
      </c>
      <c r="D128" s="101" t="s">
        <v>79</v>
      </c>
      <c r="E128" s="188" t="s">
        <v>354</v>
      </c>
      <c r="F128" s="188" t="s">
        <v>354</v>
      </c>
      <c r="G128" s="183">
        <v>8</v>
      </c>
      <c r="H128" s="124">
        <v>806665.65434782614</v>
      </c>
      <c r="I128" s="134">
        <v>8</v>
      </c>
      <c r="J128" s="126">
        <v>778989.17260869558</v>
      </c>
      <c r="K128" s="143">
        <f t="shared" si="8"/>
        <v>0</v>
      </c>
      <c r="L128" s="27"/>
      <c r="M128" s="20"/>
      <c r="N128" s="21"/>
      <c r="O128" s="21"/>
      <c r="P128" s="21"/>
      <c r="Q128" s="21"/>
      <c r="R128" s="21"/>
      <c r="S128" s="21"/>
      <c r="T128" s="202"/>
      <c r="U128" s="203"/>
    </row>
    <row r="129" spans="1:25" x14ac:dyDescent="0.25">
      <c r="A129" s="263"/>
      <c r="B129" s="14" t="s">
        <v>158</v>
      </c>
      <c r="C129" s="74" t="s">
        <v>159</v>
      </c>
      <c r="D129" s="101" t="s">
        <v>79</v>
      </c>
      <c r="E129" s="188" t="s">
        <v>354</v>
      </c>
      <c r="F129" s="188" t="s">
        <v>354</v>
      </c>
      <c r="G129" s="183">
        <v>18</v>
      </c>
      <c r="H129" s="124">
        <v>1814997.7222826087</v>
      </c>
      <c r="I129" s="134">
        <v>18</v>
      </c>
      <c r="J129" s="126">
        <v>1752725.6383695651</v>
      </c>
      <c r="K129" s="143">
        <f t="shared" si="8"/>
        <v>0</v>
      </c>
      <c r="L129" s="26"/>
      <c r="M129" s="20"/>
      <c r="N129" s="21"/>
      <c r="O129" s="21"/>
      <c r="P129" s="21"/>
      <c r="Q129" s="21"/>
      <c r="R129" s="21"/>
      <c r="S129" s="21"/>
      <c r="T129" s="202"/>
      <c r="U129" s="203"/>
    </row>
    <row r="130" spans="1:25" ht="25.5" x14ac:dyDescent="0.25">
      <c r="A130" s="263"/>
      <c r="B130" s="14" t="s">
        <v>160</v>
      </c>
      <c r="C130" s="75" t="s">
        <v>161</v>
      </c>
      <c r="D130" s="101" t="s">
        <v>79</v>
      </c>
      <c r="E130" s="188" t="s">
        <v>354</v>
      </c>
      <c r="F130" s="188" t="s">
        <v>354</v>
      </c>
      <c r="G130" s="183">
        <v>5</v>
      </c>
      <c r="H130" s="124">
        <v>504166.03396739135</v>
      </c>
      <c r="I130" s="134">
        <v>5</v>
      </c>
      <c r="J130" s="126">
        <v>486868.23288043472</v>
      </c>
      <c r="K130" s="143">
        <f t="shared" si="8"/>
        <v>0</v>
      </c>
      <c r="L130" s="27"/>
      <c r="M130" s="20"/>
      <c r="N130" s="21"/>
      <c r="O130" s="21"/>
      <c r="P130" s="21"/>
      <c r="Q130" s="21"/>
      <c r="R130" s="21"/>
      <c r="S130" s="21"/>
      <c r="T130" s="202"/>
      <c r="U130" s="203"/>
    </row>
    <row r="131" spans="1:25" x14ac:dyDescent="0.25">
      <c r="A131" s="263"/>
      <c r="B131" s="14" t="s">
        <v>162</v>
      </c>
      <c r="C131" s="76" t="s">
        <v>163</v>
      </c>
      <c r="D131" s="101" t="s">
        <v>79</v>
      </c>
      <c r="E131" s="188" t="s">
        <v>354</v>
      </c>
      <c r="F131" s="188" t="s">
        <v>354</v>
      </c>
      <c r="G131" s="189">
        <v>6</v>
      </c>
      <c r="H131" s="124">
        <v>571879.41</v>
      </c>
      <c r="I131" s="134">
        <v>6</v>
      </c>
      <c r="J131" s="126">
        <v>539100</v>
      </c>
      <c r="K131" s="143">
        <f t="shared" si="8"/>
        <v>0</v>
      </c>
      <c r="L131" s="26"/>
      <c r="M131" s="20"/>
      <c r="N131" s="21"/>
      <c r="O131" s="21"/>
      <c r="P131" s="21"/>
      <c r="Q131" s="21"/>
      <c r="R131" s="21"/>
      <c r="S131" s="21"/>
      <c r="T131" s="202"/>
      <c r="U131" s="203"/>
    </row>
    <row r="132" spans="1:25" ht="26.25" x14ac:dyDescent="0.25">
      <c r="A132" s="263"/>
      <c r="B132" s="14" t="s">
        <v>164</v>
      </c>
      <c r="C132" s="73" t="s">
        <v>165</v>
      </c>
      <c r="D132" s="101" t="s">
        <v>79</v>
      </c>
      <c r="E132" s="188" t="s">
        <v>354</v>
      </c>
      <c r="F132" s="188" t="s">
        <v>354</v>
      </c>
      <c r="G132" s="189">
        <v>3</v>
      </c>
      <c r="H132" s="124">
        <v>285939.71000000002</v>
      </c>
      <c r="I132" s="134">
        <v>3</v>
      </c>
      <c r="J132" s="126">
        <v>269550</v>
      </c>
      <c r="K132" s="143">
        <f t="shared" si="8"/>
        <v>0</v>
      </c>
      <c r="L132" s="26"/>
      <c r="M132" s="20"/>
      <c r="N132" s="21"/>
      <c r="O132" s="21"/>
      <c r="P132" s="21"/>
      <c r="Q132" s="21"/>
      <c r="R132" s="21"/>
      <c r="S132" s="21"/>
      <c r="T132" s="202"/>
      <c r="U132" s="203"/>
    </row>
    <row r="133" spans="1:25" x14ac:dyDescent="0.25">
      <c r="A133" s="263"/>
      <c r="B133" s="13" t="s">
        <v>166</v>
      </c>
      <c r="C133" s="76" t="s">
        <v>167</v>
      </c>
      <c r="D133" s="101" t="s">
        <v>79</v>
      </c>
      <c r="E133" s="188" t="s">
        <v>354</v>
      </c>
      <c r="F133" s="188" t="s">
        <v>354</v>
      </c>
      <c r="G133" s="189">
        <v>44</v>
      </c>
      <c r="H133" s="124">
        <v>3311882.35</v>
      </c>
      <c r="I133" s="134">
        <v>44</v>
      </c>
      <c r="J133" s="155">
        <v>3311882.35</v>
      </c>
      <c r="K133" s="143">
        <f t="shared" si="8"/>
        <v>0</v>
      </c>
      <c r="L133" s="26"/>
      <c r="M133" s="20"/>
      <c r="N133" s="21"/>
      <c r="O133" s="21"/>
      <c r="P133" s="21"/>
      <c r="Q133" s="21"/>
      <c r="R133" s="21"/>
      <c r="S133" s="21"/>
      <c r="T133" s="202"/>
      <c r="U133" s="203"/>
    </row>
    <row r="134" spans="1:25" ht="26.25" x14ac:dyDescent="0.25">
      <c r="A134" s="263"/>
      <c r="B134" s="17"/>
      <c r="C134" s="57" t="s">
        <v>194</v>
      </c>
      <c r="D134" s="188"/>
      <c r="E134" s="188" t="s">
        <v>354</v>
      </c>
      <c r="F134" s="188" t="s">
        <v>354</v>
      </c>
      <c r="G134" s="189"/>
      <c r="H134" s="124"/>
      <c r="I134" s="134"/>
      <c r="J134" s="126"/>
      <c r="K134" s="143">
        <f t="shared" si="8"/>
        <v>0</v>
      </c>
      <c r="L134" s="27"/>
      <c r="M134" s="20"/>
      <c r="N134" s="21"/>
      <c r="O134" s="21"/>
      <c r="P134" s="21"/>
      <c r="Q134" s="21"/>
      <c r="R134" s="21"/>
      <c r="S134" s="21"/>
      <c r="T134" s="202"/>
      <c r="U134" s="203"/>
    </row>
    <row r="135" spans="1:25" x14ac:dyDescent="0.25">
      <c r="A135" s="263"/>
      <c r="B135" s="14" t="s">
        <v>168</v>
      </c>
      <c r="C135" s="77" t="s">
        <v>169</v>
      </c>
      <c r="D135" s="188" t="s">
        <v>79</v>
      </c>
      <c r="E135" s="188" t="s">
        <v>354</v>
      </c>
      <c r="F135" s="188" t="s">
        <v>354</v>
      </c>
      <c r="G135" s="189">
        <v>30</v>
      </c>
      <c r="H135" s="124">
        <v>7730532.9400000004</v>
      </c>
      <c r="I135" s="134">
        <v>30</v>
      </c>
      <c r="J135" s="155">
        <v>7730532.9400000004</v>
      </c>
      <c r="K135" s="143">
        <f t="shared" si="8"/>
        <v>0</v>
      </c>
      <c r="L135" s="27"/>
      <c r="M135" s="20"/>
      <c r="N135" s="21"/>
      <c r="O135" s="21"/>
      <c r="P135" s="21"/>
      <c r="Q135" s="21"/>
      <c r="R135" s="21"/>
      <c r="S135" s="21"/>
      <c r="T135" s="202"/>
      <c r="U135" s="203"/>
    </row>
    <row r="136" spans="1:25" x14ac:dyDescent="0.25">
      <c r="A136" s="263"/>
      <c r="B136" s="13" t="s">
        <v>170</v>
      </c>
      <c r="C136" s="78" t="s">
        <v>171</v>
      </c>
      <c r="D136" s="188" t="s">
        <v>79</v>
      </c>
      <c r="E136" s="188" t="s">
        <v>354</v>
      </c>
      <c r="F136" s="188" t="s">
        <v>354</v>
      </c>
      <c r="G136" s="183">
        <v>13</v>
      </c>
      <c r="H136" s="124">
        <v>3349897.61</v>
      </c>
      <c r="I136" s="134">
        <v>13</v>
      </c>
      <c r="J136" s="155">
        <v>3349897.61</v>
      </c>
      <c r="K136" s="143">
        <f t="shared" si="8"/>
        <v>0</v>
      </c>
      <c r="L136" s="26"/>
      <c r="M136" s="20"/>
      <c r="N136" s="21"/>
      <c r="O136" s="21"/>
      <c r="P136" s="21"/>
      <c r="Q136" s="21"/>
      <c r="R136" s="21"/>
      <c r="S136" s="21"/>
      <c r="T136" s="202"/>
      <c r="U136" s="203"/>
    </row>
    <row r="137" spans="1:25" ht="84" customHeight="1" x14ac:dyDescent="0.25">
      <c r="A137" s="263"/>
      <c r="B137" s="14" t="s">
        <v>172</v>
      </c>
      <c r="C137" s="78" t="s">
        <v>173</v>
      </c>
      <c r="D137" s="188" t="s">
        <v>79</v>
      </c>
      <c r="E137" s="188" t="s">
        <v>354</v>
      </c>
      <c r="F137" s="188" t="s">
        <v>354</v>
      </c>
      <c r="G137" s="183">
        <v>13</v>
      </c>
      <c r="H137" s="124">
        <v>3865266.47</v>
      </c>
      <c r="I137" s="134">
        <v>15</v>
      </c>
      <c r="J137" s="155">
        <v>3865266.47</v>
      </c>
      <c r="K137" s="143">
        <f t="shared" si="8"/>
        <v>2</v>
      </c>
      <c r="L137" s="252" t="s">
        <v>330</v>
      </c>
      <c r="M137" s="20"/>
      <c r="N137" s="21"/>
      <c r="O137" s="21"/>
      <c r="P137" s="21"/>
      <c r="Q137" s="21"/>
      <c r="R137" s="21"/>
      <c r="S137" s="21"/>
      <c r="T137" s="202"/>
      <c r="U137" s="203"/>
    </row>
    <row r="138" spans="1:25" ht="60" customHeight="1" x14ac:dyDescent="0.25">
      <c r="A138" s="263"/>
      <c r="B138" s="14" t="s">
        <v>174</v>
      </c>
      <c r="C138" s="78" t="s">
        <v>175</v>
      </c>
      <c r="D138" s="188" t="s">
        <v>79</v>
      </c>
      <c r="E138" s="188" t="s">
        <v>354</v>
      </c>
      <c r="F138" s="188" t="s">
        <v>354</v>
      </c>
      <c r="G138" s="183">
        <v>15</v>
      </c>
      <c r="H138" s="124">
        <v>4638319.76</v>
      </c>
      <c r="I138" s="134">
        <v>18</v>
      </c>
      <c r="J138" s="155">
        <v>4638319.76</v>
      </c>
      <c r="K138" s="143">
        <f t="shared" si="8"/>
        <v>3</v>
      </c>
      <c r="L138" s="253"/>
      <c r="M138" s="20"/>
      <c r="N138" s="21"/>
      <c r="O138" s="21"/>
      <c r="P138" s="21"/>
      <c r="Q138" s="21"/>
      <c r="R138" s="21"/>
      <c r="S138" s="21"/>
      <c r="T138" s="202"/>
      <c r="U138" s="203"/>
    </row>
    <row r="139" spans="1:25" ht="26.25" x14ac:dyDescent="0.25">
      <c r="A139" s="263"/>
      <c r="B139" s="14" t="s">
        <v>176</v>
      </c>
      <c r="C139" s="74" t="s">
        <v>177</v>
      </c>
      <c r="D139" s="188" t="s">
        <v>79</v>
      </c>
      <c r="E139" s="188" t="s">
        <v>354</v>
      </c>
      <c r="F139" s="188" t="s">
        <v>354</v>
      </c>
      <c r="G139" s="183">
        <v>28</v>
      </c>
      <c r="H139" s="124">
        <v>4889310.87</v>
      </c>
      <c r="I139" s="134">
        <v>28</v>
      </c>
      <c r="J139" s="126">
        <v>4642501.7699999996</v>
      </c>
      <c r="K139" s="143">
        <f t="shared" si="8"/>
        <v>0</v>
      </c>
      <c r="L139" s="26"/>
      <c r="M139" s="20"/>
      <c r="N139" s="21"/>
      <c r="O139" s="21"/>
      <c r="P139" s="21"/>
      <c r="Q139" s="21"/>
      <c r="R139" s="21"/>
      <c r="S139" s="21"/>
      <c r="T139" s="202"/>
      <c r="U139" s="203"/>
    </row>
    <row r="140" spans="1:25" ht="26.25" x14ac:dyDescent="0.25">
      <c r="A140" s="263"/>
      <c r="B140" s="14" t="s">
        <v>178</v>
      </c>
      <c r="C140" s="74" t="s">
        <v>179</v>
      </c>
      <c r="D140" s="188" t="s">
        <v>79</v>
      </c>
      <c r="E140" s="188" t="s">
        <v>354</v>
      </c>
      <c r="F140" s="188" t="s">
        <v>354</v>
      </c>
      <c r="G140" s="183">
        <v>4</v>
      </c>
      <c r="H140" s="124">
        <v>2325853.2000000002</v>
      </c>
      <c r="I140" s="134">
        <v>4</v>
      </c>
      <c r="J140" s="126">
        <v>2325123.6</v>
      </c>
      <c r="K140" s="143">
        <f t="shared" si="8"/>
        <v>0</v>
      </c>
      <c r="L140" s="26"/>
      <c r="M140" s="20"/>
      <c r="N140" s="21"/>
      <c r="O140" s="21"/>
      <c r="P140" s="21"/>
      <c r="Q140" s="21"/>
      <c r="R140" s="21"/>
      <c r="S140" s="21"/>
      <c r="T140" s="202"/>
      <c r="U140" s="203"/>
    </row>
    <row r="141" spans="1:25" ht="39" x14ac:dyDescent="0.25">
      <c r="A141" s="263"/>
      <c r="B141" s="13" t="s">
        <v>144</v>
      </c>
      <c r="C141" s="57" t="s">
        <v>38</v>
      </c>
      <c r="D141" s="187" t="s">
        <v>76</v>
      </c>
      <c r="E141" s="188" t="s">
        <v>354</v>
      </c>
      <c r="F141" s="188" t="s">
        <v>354</v>
      </c>
      <c r="G141" s="183">
        <v>39</v>
      </c>
      <c r="H141" s="122">
        <v>13547.07</v>
      </c>
      <c r="I141" s="121">
        <v>39</v>
      </c>
      <c r="J141" s="126">
        <v>13082.29</v>
      </c>
      <c r="K141" s="143">
        <f t="shared" si="8"/>
        <v>0</v>
      </c>
      <c r="L141" s="26"/>
      <c r="M141" s="20"/>
      <c r="N141" s="21"/>
      <c r="O141" s="21"/>
      <c r="P141" s="21"/>
      <c r="Q141" s="21"/>
      <c r="R141" s="21"/>
      <c r="S141" s="21"/>
      <c r="T141" s="202"/>
      <c r="U141" s="203"/>
    </row>
    <row r="142" spans="1:25" ht="39" x14ac:dyDescent="0.25">
      <c r="A142" s="263"/>
      <c r="B142" s="79" t="s">
        <v>180</v>
      </c>
      <c r="C142" s="57" t="s">
        <v>39</v>
      </c>
      <c r="D142" s="187" t="s">
        <v>76</v>
      </c>
      <c r="E142" s="188" t="s">
        <v>354</v>
      </c>
      <c r="F142" s="188" t="s">
        <v>354</v>
      </c>
      <c r="G142" s="183">
        <f>40+10</f>
        <v>50</v>
      </c>
      <c r="H142" s="122">
        <v>1407995.55</v>
      </c>
      <c r="I142" s="121">
        <f>40+10</f>
        <v>50</v>
      </c>
      <c r="J142" s="155">
        <v>1407995.55</v>
      </c>
      <c r="K142" s="143">
        <f t="shared" si="8"/>
        <v>0</v>
      </c>
      <c r="L142" s="26"/>
      <c r="M142" s="20"/>
      <c r="N142" s="21"/>
      <c r="O142" s="21"/>
      <c r="P142" s="21"/>
      <c r="Q142" s="21"/>
      <c r="R142" s="21"/>
      <c r="S142" s="21"/>
      <c r="T142" s="202"/>
      <c r="U142" s="203"/>
      <c r="V142" s="197"/>
      <c r="W142" s="85"/>
      <c r="X142" s="86"/>
      <c r="Y142" s="41"/>
    </row>
    <row r="143" spans="1:25" ht="26.25" x14ac:dyDescent="0.25">
      <c r="A143" s="263"/>
      <c r="B143" s="14" t="s">
        <v>138</v>
      </c>
      <c r="C143" s="57" t="s">
        <v>40</v>
      </c>
      <c r="D143" s="187" t="s">
        <v>76</v>
      </c>
      <c r="E143" s="188" t="s">
        <v>354</v>
      </c>
      <c r="F143" s="188" t="s">
        <v>354</v>
      </c>
      <c r="G143" s="183">
        <v>23</v>
      </c>
      <c r="H143" s="122">
        <v>7989.3</v>
      </c>
      <c r="I143" s="121">
        <v>23</v>
      </c>
      <c r="J143" s="126">
        <v>7715.2</v>
      </c>
      <c r="K143" s="143">
        <f t="shared" si="8"/>
        <v>0</v>
      </c>
      <c r="L143" s="26"/>
      <c r="M143" s="20"/>
      <c r="N143" s="21"/>
      <c r="O143" s="21"/>
      <c r="P143" s="21"/>
      <c r="Q143" s="21"/>
      <c r="R143" s="21"/>
      <c r="S143" s="21"/>
      <c r="T143" s="202"/>
      <c r="U143" s="203"/>
    </row>
    <row r="144" spans="1:25" ht="39" x14ac:dyDescent="0.25">
      <c r="A144" s="263"/>
      <c r="B144" s="14" t="s">
        <v>140</v>
      </c>
      <c r="C144" s="57" t="s">
        <v>181</v>
      </c>
      <c r="D144" s="187" t="s">
        <v>76</v>
      </c>
      <c r="E144" s="188" t="s">
        <v>354</v>
      </c>
      <c r="F144" s="188" t="s">
        <v>354</v>
      </c>
      <c r="G144" s="183">
        <v>21</v>
      </c>
      <c r="H144" s="122">
        <v>7989.3</v>
      </c>
      <c r="I144" s="121">
        <v>21</v>
      </c>
      <c r="J144" s="126">
        <v>7715.2</v>
      </c>
      <c r="K144" s="143">
        <f t="shared" si="8"/>
        <v>0</v>
      </c>
      <c r="L144" s="26"/>
      <c r="M144" s="20"/>
      <c r="N144" s="21"/>
      <c r="O144" s="21"/>
      <c r="P144" s="21"/>
      <c r="Q144" s="21"/>
      <c r="R144" s="21"/>
      <c r="S144" s="21"/>
      <c r="T144" s="202"/>
      <c r="U144" s="203"/>
    </row>
    <row r="145" spans="1:22" ht="39" x14ac:dyDescent="0.25">
      <c r="A145" s="263"/>
      <c r="B145" s="14" t="s">
        <v>182</v>
      </c>
      <c r="C145" s="58" t="s">
        <v>183</v>
      </c>
      <c r="D145" s="97" t="s">
        <v>76</v>
      </c>
      <c r="E145" s="188" t="s">
        <v>354</v>
      </c>
      <c r="F145" s="188" t="s">
        <v>354</v>
      </c>
      <c r="G145" s="183">
        <v>9</v>
      </c>
      <c r="H145" s="122">
        <v>2523.1</v>
      </c>
      <c r="I145" s="121">
        <v>9</v>
      </c>
      <c r="J145" s="126">
        <v>2513.1999999999998</v>
      </c>
      <c r="K145" s="143">
        <f t="shared" si="8"/>
        <v>0</v>
      </c>
      <c r="L145" s="26"/>
      <c r="M145" s="20"/>
      <c r="N145" s="21"/>
      <c r="O145" s="21"/>
      <c r="P145" s="21"/>
      <c r="Q145" s="21"/>
      <c r="R145" s="21"/>
      <c r="S145" s="21"/>
      <c r="T145" s="202"/>
      <c r="U145" s="203"/>
    </row>
    <row r="146" spans="1:22" ht="39" x14ac:dyDescent="0.25">
      <c r="A146" s="263"/>
      <c r="B146" s="14" t="s">
        <v>184</v>
      </c>
      <c r="C146" s="58" t="s">
        <v>41</v>
      </c>
      <c r="D146" s="97" t="s">
        <v>76</v>
      </c>
      <c r="E146" s="188" t="s">
        <v>354</v>
      </c>
      <c r="F146" s="188" t="s">
        <v>354</v>
      </c>
      <c r="G146" s="183">
        <v>17</v>
      </c>
      <c r="H146" s="122">
        <v>6508.2799999999988</v>
      </c>
      <c r="I146" s="121">
        <v>17</v>
      </c>
      <c r="J146" s="126">
        <v>6208.3300000000008</v>
      </c>
      <c r="K146" s="143">
        <f t="shared" si="8"/>
        <v>0</v>
      </c>
      <c r="L146" s="26"/>
      <c r="M146" s="20"/>
      <c r="N146" s="21"/>
      <c r="O146" s="21"/>
      <c r="P146" s="21"/>
      <c r="Q146" s="21"/>
      <c r="R146" s="21"/>
      <c r="S146" s="21"/>
      <c r="T146" s="202"/>
      <c r="U146" s="203"/>
    </row>
    <row r="147" spans="1:22" ht="26.25" x14ac:dyDescent="0.25">
      <c r="A147" s="263"/>
      <c r="B147" s="14" t="s">
        <v>185</v>
      </c>
      <c r="C147" s="58" t="s">
        <v>42</v>
      </c>
      <c r="D147" s="97" t="s">
        <v>76</v>
      </c>
      <c r="E147" s="188" t="s">
        <v>354</v>
      </c>
      <c r="F147" s="188" t="s">
        <v>354</v>
      </c>
      <c r="G147" s="183">
        <v>14</v>
      </c>
      <c r="H147" s="122">
        <v>4863.05</v>
      </c>
      <c r="I147" s="121">
        <v>14</v>
      </c>
      <c r="J147" s="126">
        <v>4696.21</v>
      </c>
      <c r="K147" s="143">
        <f t="shared" si="8"/>
        <v>0</v>
      </c>
      <c r="L147" s="26"/>
      <c r="M147" s="20"/>
      <c r="N147" s="21"/>
      <c r="O147" s="21"/>
      <c r="P147" s="21"/>
      <c r="Q147" s="21"/>
      <c r="R147" s="21"/>
      <c r="S147" s="21"/>
      <c r="T147" s="202"/>
      <c r="U147" s="203"/>
    </row>
    <row r="148" spans="1:22" x14ac:dyDescent="0.25">
      <c r="A148" s="263"/>
      <c r="B148" s="14" t="s">
        <v>186</v>
      </c>
      <c r="C148" s="58" t="s">
        <v>43</v>
      </c>
      <c r="D148" s="97" t="s">
        <v>76</v>
      </c>
      <c r="E148" s="188" t="s">
        <v>354</v>
      </c>
      <c r="F148" s="188" t="s">
        <v>354</v>
      </c>
      <c r="G148" s="183">
        <v>130</v>
      </c>
      <c r="H148" s="122">
        <f>45156.9+5117006.27</f>
        <v>5162163.17</v>
      </c>
      <c r="I148" s="121">
        <v>130</v>
      </c>
      <c r="J148" s="155">
        <v>5162163.17</v>
      </c>
      <c r="K148" s="143">
        <f t="shared" si="8"/>
        <v>0</v>
      </c>
      <c r="L148" s="26"/>
      <c r="M148" s="20"/>
      <c r="N148" s="21"/>
      <c r="O148" s="21"/>
      <c r="P148" s="21"/>
      <c r="Q148" s="21"/>
      <c r="R148" s="21"/>
      <c r="S148" s="21"/>
      <c r="T148" s="202"/>
      <c r="U148" s="203"/>
    </row>
    <row r="149" spans="1:22" ht="26.25" x14ac:dyDescent="0.25">
      <c r="A149" s="263"/>
      <c r="B149" s="14" t="s">
        <v>141</v>
      </c>
      <c r="C149" s="58" t="s">
        <v>44</v>
      </c>
      <c r="D149" s="97" t="s">
        <v>76</v>
      </c>
      <c r="E149" s="188" t="s">
        <v>354</v>
      </c>
      <c r="F149" s="188" t="s">
        <v>354</v>
      </c>
      <c r="G149" s="183">
        <v>5</v>
      </c>
      <c r="H149" s="122">
        <v>1736.8</v>
      </c>
      <c r="I149" s="121">
        <v>5</v>
      </c>
      <c r="J149" s="126">
        <v>1677.22</v>
      </c>
      <c r="K149" s="143">
        <f t="shared" si="8"/>
        <v>0</v>
      </c>
      <c r="L149" s="26"/>
      <c r="M149" s="20"/>
      <c r="N149" s="21"/>
      <c r="O149" s="21"/>
      <c r="P149" s="21"/>
      <c r="Q149" s="21"/>
      <c r="R149" s="21"/>
      <c r="S149" s="21"/>
      <c r="T149" s="202"/>
      <c r="U149" s="203"/>
    </row>
    <row r="150" spans="1:22" ht="64.5" x14ac:dyDescent="0.25">
      <c r="A150" s="263"/>
      <c r="B150" s="14" t="s">
        <v>187</v>
      </c>
      <c r="C150" s="58" t="s">
        <v>45</v>
      </c>
      <c r="D150" s="97" t="s">
        <v>76</v>
      </c>
      <c r="E150" s="188" t="s">
        <v>354</v>
      </c>
      <c r="F150" s="188" t="s">
        <v>354</v>
      </c>
      <c r="G150" s="189">
        <v>2</v>
      </c>
      <c r="H150" s="124">
        <v>694.72</v>
      </c>
      <c r="I150" s="134">
        <v>2</v>
      </c>
      <c r="J150" s="126">
        <v>670.89</v>
      </c>
      <c r="K150" s="143">
        <f t="shared" si="8"/>
        <v>0</v>
      </c>
      <c r="L150" s="26"/>
      <c r="M150" s="20"/>
      <c r="N150" s="21"/>
      <c r="O150" s="21"/>
      <c r="P150" s="21"/>
      <c r="Q150" s="21"/>
      <c r="R150" s="21"/>
      <c r="S150" s="21"/>
      <c r="T150" s="202"/>
      <c r="U150" s="203"/>
    </row>
    <row r="151" spans="1:22" ht="26.25" x14ac:dyDescent="0.25">
      <c r="A151" s="263"/>
      <c r="B151" s="14" t="s">
        <v>188</v>
      </c>
      <c r="C151" s="58" t="s">
        <v>46</v>
      </c>
      <c r="D151" s="97" t="s">
        <v>76</v>
      </c>
      <c r="E151" s="188" t="s">
        <v>354</v>
      </c>
      <c r="F151" s="188" t="s">
        <v>354</v>
      </c>
      <c r="G151" s="189">
        <v>12</v>
      </c>
      <c r="H151" s="124">
        <v>4168.33</v>
      </c>
      <c r="I151" s="134">
        <v>12</v>
      </c>
      <c r="J151" s="126">
        <v>4025.32</v>
      </c>
      <c r="K151" s="143">
        <f t="shared" si="8"/>
        <v>0</v>
      </c>
      <c r="L151" s="26"/>
      <c r="M151" s="20"/>
      <c r="N151" s="21"/>
      <c r="O151" s="21"/>
      <c r="P151" s="21"/>
      <c r="Q151" s="21"/>
      <c r="R151" s="21"/>
      <c r="S151" s="21"/>
      <c r="T151" s="202"/>
      <c r="U151" s="203"/>
    </row>
    <row r="152" spans="1:22" ht="26.25" x14ac:dyDescent="0.25">
      <c r="A152" s="263"/>
      <c r="B152" s="14" t="s">
        <v>189</v>
      </c>
      <c r="C152" s="58" t="s">
        <v>47</v>
      </c>
      <c r="D152" s="97" t="s">
        <v>76</v>
      </c>
      <c r="E152" s="188" t="s">
        <v>354</v>
      </c>
      <c r="F152" s="188" t="s">
        <v>354</v>
      </c>
      <c r="G152" s="189">
        <v>133</v>
      </c>
      <c r="H152" s="124">
        <v>7989.3</v>
      </c>
      <c r="I152" s="134">
        <v>133</v>
      </c>
      <c r="J152" s="126">
        <v>7715.2</v>
      </c>
      <c r="K152" s="143">
        <f t="shared" si="8"/>
        <v>0</v>
      </c>
      <c r="L152" s="26"/>
      <c r="M152" s="20"/>
      <c r="N152" s="21"/>
      <c r="O152" s="21"/>
      <c r="P152" s="21"/>
      <c r="Q152" s="21"/>
      <c r="R152" s="21"/>
      <c r="S152" s="21"/>
      <c r="T152" s="202"/>
      <c r="U152" s="203"/>
    </row>
    <row r="153" spans="1:22" ht="39" x14ac:dyDescent="0.25">
      <c r="A153" s="263"/>
      <c r="B153" s="14" t="s">
        <v>190</v>
      </c>
      <c r="C153" s="58" t="s">
        <v>48</v>
      </c>
      <c r="D153" s="101" t="s">
        <v>79</v>
      </c>
      <c r="E153" s="188" t="s">
        <v>354</v>
      </c>
      <c r="F153" s="188" t="s">
        <v>354</v>
      </c>
      <c r="G153" s="189">
        <v>130</v>
      </c>
      <c r="H153" s="124">
        <v>45156.9</v>
      </c>
      <c r="I153" s="134">
        <v>130</v>
      </c>
      <c r="J153" s="155">
        <v>45156.9</v>
      </c>
      <c r="K153" s="143">
        <f t="shared" si="8"/>
        <v>0</v>
      </c>
      <c r="L153" s="26"/>
      <c r="M153" s="20"/>
      <c r="N153" s="21"/>
      <c r="O153" s="21"/>
      <c r="P153" s="21"/>
      <c r="Q153" s="21"/>
      <c r="R153" s="21"/>
      <c r="S153" s="21"/>
      <c r="T153" s="202"/>
      <c r="U153" s="203"/>
    </row>
    <row r="154" spans="1:22" ht="39" x14ac:dyDescent="0.25">
      <c r="A154" s="263"/>
      <c r="B154" s="14" t="s">
        <v>190</v>
      </c>
      <c r="C154" s="58" t="s">
        <v>48</v>
      </c>
      <c r="D154" s="101" t="s">
        <v>104</v>
      </c>
      <c r="E154" s="188" t="s">
        <v>354</v>
      </c>
      <c r="F154" s="188" t="s">
        <v>354</v>
      </c>
      <c r="G154" s="183">
        <v>14040</v>
      </c>
      <c r="H154" s="122">
        <v>2204044.75</v>
      </c>
      <c r="I154" s="121">
        <v>14040</v>
      </c>
      <c r="J154" s="155">
        <v>2204044.75</v>
      </c>
      <c r="K154" s="143">
        <f t="shared" si="8"/>
        <v>0</v>
      </c>
      <c r="L154" s="26"/>
      <c r="M154" s="20"/>
      <c r="N154" s="21"/>
      <c r="O154" s="21"/>
      <c r="P154" s="21"/>
      <c r="Q154" s="21"/>
      <c r="R154" s="21"/>
      <c r="S154" s="21"/>
      <c r="T154" s="202"/>
      <c r="U154" s="203"/>
    </row>
    <row r="155" spans="1:22" ht="39.75" thickBot="1" x14ac:dyDescent="0.3">
      <c r="A155" s="263"/>
      <c r="B155" s="220" t="s">
        <v>191</v>
      </c>
      <c r="C155" s="221" t="s">
        <v>192</v>
      </c>
      <c r="D155" s="222" t="s">
        <v>76</v>
      </c>
      <c r="E155" s="188" t="s">
        <v>354</v>
      </c>
      <c r="F155" s="188" t="s">
        <v>354</v>
      </c>
      <c r="G155" s="223">
        <v>5</v>
      </c>
      <c r="H155" s="224">
        <v>917516.18</v>
      </c>
      <c r="I155" s="225">
        <v>5</v>
      </c>
      <c r="J155" s="226">
        <v>917516.18</v>
      </c>
      <c r="K155" s="227">
        <f t="shared" si="8"/>
        <v>0</v>
      </c>
      <c r="L155" s="228"/>
      <c r="M155" s="20"/>
      <c r="N155" s="21"/>
      <c r="O155" s="21"/>
      <c r="P155" s="21"/>
      <c r="Q155" s="21"/>
      <c r="R155" s="21"/>
      <c r="S155" s="21"/>
      <c r="T155" s="202"/>
      <c r="U155" s="203"/>
    </row>
    <row r="156" spans="1:22" ht="33" customHeight="1" thickBot="1" x14ac:dyDescent="0.3">
      <c r="A156" s="262" t="s">
        <v>70</v>
      </c>
      <c r="B156" s="3" t="s">
        <v>63</v>
      </c>
      <c r="C156" s="236" t="s">
        <v>75</v>
      </c>
      <c r="D156" s="214" t="s">
        <v>63</v>
      </c>
      <c r="E156" s="215" t="s">
        <v>63</v>
      </c>
      <c r="F156" s="232">
        <v>28886330</v>
      </c>
      <c r="G156" s="3" t="s">
        <v>63</v>
      </c>
      <c r="H156" s="240">
        <f>SUM(H157:H160)</f>
        <v>28219330</v>
      </c>
      <c r="I156" s="3" t="s">
        <v>63</v>
      </c>
      <c r="J156" s="240">
        <f>SUM(J157:J160)</f>
        <v>27688280.299999997</v>
      </c>
      <c r="K156" s="102" t="s">
        <v>63</v>
      </c>
      <c r="L156" s="160" t="s">
        <v>63</v>
      </c>
      <c r="M156" s="20"/>
      <c r="N156" s="21"/>
      <c r="O156" s="21"/>
      <c r="P156" s="21"/>
      <c r="Q156" s="21"/>
      <c r="R156" s="21"/>
      <c r="S156" s="21"/>
      <c r="T156" s="202"/>
      <c r="U156" s="203"/>
      <c r="V156" s="196"/>
    </row>
    <row r="157" spans="1:22" ht="55.5" customHeight="1" x14ac:dyDescent="0.25">
      <c r="A157" s="264"/>
      <c r="B157" s="64" t="s">
        <v>71</v>
      </c>
      <c r="C157" s="5" t="s">
        <v>66</v>
      </c>
      <c r="D157" s="229" t="s">
        <v>76</v>
      </c>
      <c r="E157" s="230">
        <v>19177.472000000002</v>
      </c>
      <c r="F157" s="231">
        <v>21709000</v>
      </c>
      <c r="G157" s="190">
        <v>18728</v>
      </c>
      <c r="H157" s="136">
        <f>28219330*75.16%</f>
        <v>21209648.427999999</v>
      </c>
      <c r="I157" s="135">
        <v>18728</v>
      </c>
      <c r="J157" s="136">
        <f>27688280.3*75.16%</f>
        <v>20810511.473479997</v>
      </c>
      <c r="K157" s="143">
        <f t="shared" si="8"/>
        <v>0</v>
      </c>
      <c r="L157" s="28"/>
      <c r="M157" s="20"/>
      <c r="N157" s="21"/>
      <c r="O157" s="21"/>
      <c r="P157" s="21"/>
      <c r="Q157" s="21"/>
      <c r="R157" s="21"/>
      <c r="S157" s="21"/>
      <c r="T157" s="202"/>
      <c r="U157" s="203"/>
    </row>
    <row r="158" spans="1:22" ht="50.25" customHeight="1" x14ac:dyDescent="0.25">
      <c r="A158" s="264"/>
      <c r="B158" s="65" t="s">
        <v>72</v>
      </c>
      <c r="C158" s="2" t="s">
        <v>67</v>
      </c>
      <c r="D158" s="187" t="s">
        <v>76</v>
      </c>
      <c r="E158" s="218">
        <v>1004.544</v>
      </c>
      <c r="F158" s="219">
        <v>1138000</v>
      </c>
      <c r="G158" s="191">
        <v>981</v>
      </c>
      <c r="H158" s="138">
        <f>28219330*3.94%</f>
        <v>1111841.602</v>
      </c>
      <c r="I158" s="137">
        <v>981</v>
      </c>
      <c r="J158" s="138">
        <f>27688280.3*3.94%</f>
        <v>1090918.24382</v>
      </c>
      <c r="K158" s="143">
        <f t="shared" si="8"/>
        <v>0</v>
      </c>
      <c r="L158" s="27"/>
      <c r="M158" s="20"/>
      <c r="N158" s="21"/>
      <c r="O158" s="21"/>
      <c r="P158" s="21"/>
      <c r="Q158" s="21"/>
      <c r="R158" s="21"/>
      <c r="S158" s="21"/>
      <c r="T158" s="202"/>
      <c r="U158" s="203"/>
    </row>
    <row r="159" spans="1:22" ht="51" x14ac:dyDescent="0.25">
      <c r="A159" s="264"/>
      <c r="B159" s="65" t="s">
        <v>73</v>
      </c>
      <c r="C159" s="2" t="s">
        <v>68</v>
      </c>
      <c r="D159" s="187" t="s">
        <v>76</v>
      </c>
      <c r="E159" s="218">
        <v>2781.1840000000002</v>
      </c>
      <c r="F159" s="219">
        <v>3149720</v>
      </c>
      <c r="G159" s="191">
        <v>2716</v>
      </c>
      <c r="H159" s="138">
        <f>28219330*10.9%</f>
        <v>3075906.97</v>
      </c>
      <c r="I159" s="137">
        <v>2716</v>
      </c>
      <c r="J159" s="138">
        <f>27688280.3*10.9%</f>
        <v>3018022.5526999999</v>
      </c>
      <c r="K159" s="143">
        <f t="shared" si="8"/>
        <v>0</v>
      </c>
      <c r="L159" s="27"/>
      <c r="M159" s="20"/>
      <c r="N159" s="21"/>
      <c r="O159" s="21"/>
      <c r="P159" s="21"/>
      <c r="Q159" s="21"/>
      <c r="R159" s="21"/>
      <c r="S159" s="21"/>
      <c r="T159" s="202"/>
      <c r="U159" s="203"/>
    </row>
    <row r="160" spans="1:22" ht="27.75" customHeight="1" thickBot="1" x14ac:dyDescent="0.3">
      <c r="A160" s="265"/>
      <c r="B160" s="66" t="s">
        <v>74</v>
      </c>
      <c r="C160" s="6" t="s">
        <v>69</v>
      </c>
      <c r="D160" s="233" t="s">
        <v>76</v>
      </c>
      <c r="E160" s="234">
        <v>2550.7840000000001</v>
      </c>
      <c r="F160" s="235">
        <v>2889610</v>
      </c>
      <c r="G160" s="192">
        <v>2491</v>
      </c>
      <c r="H160" s="140">
        <f>28219330*10%</f>
        <v>2821933</v>
      </c>
      <c r="I160" s="139">
        <v>2491</v>
      </c>
      <c r="J160" s="140">
        <f>27688280.3*10%</f>
        <v>2768828.0300000003</v>
      </c>
      <c r="K160" s="149">
        <f t="shared" si="8"/>
        <v>0</v>
      </c>
      <c r="L160" s="29"/>
      <c r="M160" s="20"/>
      <c r="N160" s="21"/>
      <c r="O160" s="21"/>
      <c r="P160" s="21"/>
      <c r="Q160" s="21"/>
      <c r="R160" s="21"/>
      <c r="S160" s="21"/>
      <c r="T160" s="202"/>
      <c r="U160" s="203"/>
    </row>
    <row r="161" spans="1:24" ht="11.25" customHeight="1" x14ac:dyDescent="0.25">
      <c r="A161" s="36"/>
      <c r="B161" s="165"/>
      <c r="C161" s="166"/>
      <c r="D161" s="167"/>
      <c r="E161" s="167"/>
      <c r="F161" s="167"/>
      <c r="G161" s="168"/>
      <c r="H161" s="169"/>
      <c r="I161" s="168"/>
      <c r="J161" s="169"/>
      <c r="K161" s="170"/>
      <c r="L161" s="171"/>
      <c r="M161" s="20"/>
      <c r="N161" s="21"/>
      <c r="O161" s="21"/>
      <c r="P161" s="21"/>
      <c r="Q161" s="21"/>
      <c r="R161" s="21"/>
      <c r="S161" s="21"/>
    </row>
    <row r="162" spans="1:24" s="40" customFormat="1" ht="19.5" customHeight="1" x14ac:dyDescent="0.25">
      <c r="A162" s="284" t="s">
        <v>348</v>
      </c>
      <c r="B162" s="285"/>
      <c r="C162" s="285"/>
      <c r="D162" s="285"/>
      <c r="E162" s="172"/>
      <c r="F162" s="172"/>
      <c r="G162" s="37"/>
      <c r="H162" s="37"/>
      <c r="I162" s="37"/>
      <c r="J162" s="37"/>
      <c r="K162" s="37"/>
      <c r="L162" s="37"/>
      <c r="M162" s="38"/>
      <c r="N162" s="39"/>
      <c r="O162" s="39"/>
      <c r="P162" s="39"/>
      <c r="Q162" s="39"/>
      <c r="R162" s="39"/>
      <c r="S162" s="39"/>
      <c r="T162" s="198"/>
      <c r="U162" s="198"/>
      <c r="V162" s="198"/>
    </row>
    <row r="163" spans="1:24" s="50" customFormat="1" ht="15.75" x14ac:dyDescent="0.25">
      <c r="A163" s="47" t="s">
        <v>197</v>
      </c>
      <c r="B163" s="48"/>
      <c r="C163" s="49"/>
      <c r="D163" s="49"/>
      <c r="E163" s="49"/>
      <c r="F163" s="49"/>
      <c r="G163" s="49"/>
      <c r="H163" s="49"/>
      <c r="I163" s="49"/>
      <c r="J163" s="49"/>
      <c r="T163" s="199"/>
      <c r="U163" s="199"/>
      <c r="V163" s="199"/>
    </row>
    <row r="164" spans="1:24" s="51" customFormat="1" ht="12.75" x14ac:dyDescent="0.2">
      <c r="A164" s="47" t="s">
        <v>198</v>
      </c>
      <c r="T164" s="200"/>
      <c r="U164" s="200"/>
      <c r="V164" s="200"/>
    </row>
    <row r="165" spans="1:24" s="51" customFormat="1" ht="12.75" x14ac:dyDescent="0.2">
      <c r="A165" s="47" t="s">
        <v>199</v>
      </c>
      <c r="T165" s="200"/>
      <c r="U165" s="200"/>
      <c r="V165" s="200"/>
    </row>
    <row r="166" spans="1:24" s="51" customFormat="1" ht="12.75" x14ac:dyDescent="0.2">
      <c r="A166" s="47" t="s">
        <v>200</v>
      </c>
      <c r="T166" s="200"/>
      <c r="U166" s="200"/>
      <c r="V166" s="200"/>
    </row>
    <row r="167" spans="1:24" s="51" customFormat="1" ht="12.75" x14ac:dyDescent="0.2">
      <c r="T167" s="200"/>
      <c r="U167" s="200"/>
      <c r="V167" s="200"/>
    </row>
    <row r="168" spans="1:24" s="40" customFormat="1" hidden="1" x14ac:dyDescent="0.25">
      <c r="C168" s="42" t="s">
        <v>50</v>
      </c>
      <c r="D168" s="288"/>
      <c r="E168" s="288"/>
      <c r="F168" s="288"/>
      <c r="G168" s="288"/>
      <c r="H168" s="288"/>
      <c r="T168" s="201"/>
      <c r="U168" s="201"/>
      <c r="V168" s="201"/>
      <c r="W168" s="41"/>
      <c r="X168" s="41"/>
    </row>
    <row r="169" spans="1:24" s="40" customFormat="1" hidden="1" x14ac:dyDescent="0.25">
      <c r="C169" s="42" t="s">
        <v>51</v>
      </c>
      <c r="D169" s="286"/>
      <c r="E169" s="286"/>
      <c r="F169" s="286"/>
      <c r="G169" s="286"/>
      <c r="H169" s="286"/>
      <c r="T169" s="201"/>
      <c r="U169" s="201"/>
      <c r="V169" s="201"/>
      <c r="W169" s="41"/>
      <c r="X169" s="41"/>
    </row>
    <row r="170" spans="1:24" s="40" customFormat="1" hidden="1" x14ac:dyDescent="0.25">
      <c r="C170" s="42" t="s">
        <v>52</v>
      </c>
      <c r="D170" s="286"/>
      <c r="E170" s="286"/>
      <c r="F170" s="286"/>
      <c r="G170" s="286"/>
      <c r="H170" s="286"/>
      <c r="T170" s="201"/>
      <c r="U170" s="201"/>
      <c r="V170" s="201"/>
      <c r="W170" s="41"/>
      <c r="X170" s="41"/>
    </row>
    <row r="171" spans="1:24" s="40" customFormat="1" hidden="1" x14ac:dyDescent="0.25">
      <c r="C171" s="42" t="s">
        <v>53</v>
      </c>
      <c r="D171" s="286"/>
      <c r="E171" s="286"/>
      <c r="F171" s="286"/>
      <c r="G171" s="286"/>
      <c r="H171" s="286"/>
      <c r="T171" s="201"/>
      <c r="U171" s="201"/>
      <c r="V171" s="201"/>
      <c r="W171" s="41"/>
      <c r="X171" s="41"/>
    </row>
    <row r="172" spans="1:24" s="40" customFormat="1" hidden="1" x14ac:dyDescent="0.25">
      <c r="C172" s="42" t="s">
        <v>54</v>
      </c>
      <c r="D172" s="288"/>
      <c r="E172" s="288"/>
      <c r="F172" s="288"/>
      <c r="G172" s="288"/>
      <c r="H172" s="288"/>
      <c r="T172" s="201"/>
      <c r="U172" s="201"/>
      <c r="V172" s="201"/>
      <c r="W172" s="41"/>
      <c r="X172" s="41"/>
    </row>
    <row r="173" spans="1:24" s="40" customFormat="1" hidden="1" x14ac:dyDescent="0.25">
      <c r="C173" s="42" t="s">
        <v>55</v>
      </c>
      <c r="D173" s="288"/>
      <c r="E173" s="288"/>
      <c r="F173" s="288"/>
      <c r="G173" s="288"/>
      <c r="H173" s="288"/>
      <c r="T173" s="201"/>
      <c r="U173" s="201"/>
      <c r="V173" s="201"/>
      <c r="W173" s="41"/>
      <c r="X173" s="41"/>
    </row>
    <row r="174" spans="1:24" s="40" customFormat="1" hidden="1" x14ac:dyDescent="0.25">
      <c r="C174" s="42" t="s">
        <v>56</v>
      </c>
      <c r="D174" s="286"/>
      <c r="E174" s="286"/>
      <c r="F174" s="286"/>
      <c r="G174" s="286"/>
      <c r="H174" s="286"/>
      <c r="T174" s="201"/>
      <c r="U174" s="201"/>
      <c r="V174" s="201"/>
      <c r="W174" s="41"/>
      <c r="X174" s="41"/>
    </row>
    <row r="175" spans="1:24" s="40" customFormat="1" hidden="1" x14ac:dyDescent="0.25">
      <c r="C175" s="42" t="s">
        <v>57</v>
      </c>
      <c r="D175" s="287"/>
      <c r="E175" s="287"/>
      <c r="F175" s="287"/>
      <c r="G175" s="287"/>
      <c r="H175" s="287"/>
      <c r="T175" s="201"/>
      <c r="U175" s="201"/>
      <c r="V175" s="201"/>
      <c r="W175" s="41"/>
      <c r="X175" s="41"/>
    </row>
    <row r="176" spans="1:24" s="40" customFormat="1" ht="3.75" hidden="1" customHeight="1" x14ac:dyDescent="0.25">
      <c r="C176" s="43"/>
      <c r="D176" s="286"/>
      <c r="E176" s="286"/>
      <c r="F176" s="286"/>
      <c r="G176" s="286"/>
      <c r="H176" s="286"/>
      <c r="T176" s="201"/>
      <c r="U176" s="201"/>
      <c r="V176" s="201"/>
      <c r="W176" s="41"/>
      <c r="X176" s="41"/>
    </row>
    <row r="177" spans="7:24" s="40" customFormat="1" hidden="1" x14ac:dyDescent="0.25">
      <c r="T177" s="201"/>
      <c r="U177" s="201"/>
      <c r="V177" s="201"/>
      <c r="W177" s="41"/>
      <c r="X177" s="41"/>
    </row>
    <row r="178" spans="7:24" s="40" customFormat="1" x14ac:dyDescent="0.25">
      <c r="G178" s="44"/>
      <c r="H178" s="45"/>
      <c r="I178" s="44"/>
      <c r="J178" s="45"/>
      <c r="T178" s="201"/>
      <c r="U178" s="201"/>
      <c r="V178" s="201"/>
      <c r="W178" s="41"/>
      <c r="X178" s="41"/>
    </row>
    <row r="179" spans="7:24" s="40" customFormat="1" x14ac:dyDescent="0.25">
      <c r="H179" s="46"/>
      <c r="J179" s="46"/>
      <c r="T179" s="198"/>
      <c r="U179" s="198"/>
      <c r="V179" s="198"/>
    </row>
  </sheetData>
  <mergeCells count="33">
    <mergeCell ref="A162:D162"/>
    <mergeCell ref="D174:H174"/>
    <mergeCell ref="D175:H175"/>
    <mergeCell ref="D176:H176"/>
    <mergeCell ref="D168:H168"/>
    <mergeCell ref="D169:H169"/>
    <mergeCell ref="D170:H170"/>
    <mergeCell ref="D171:H171"/>
    <mergeCell ref="D172:H172"/>
    <mergeCell ref="D173:H173"/>
    <mergeCell ref="A9:A93"/>
    <mergeCell ref="B10:B12"/>
    <mergeCell ref="C10:C12"/>
    <mergeCell ref="A5:A6"/>
    <mergeCell ref="J1:K1"/>
    <mergeCell ref="B3:L3"/>
    <mergeCell ref="G4:H4"/>
    <mergeCell ref="B5:C5"/>
    <mergeCell ref="D5:D6"/>
    <mergeCell ref="G5:H5"/>
    <mergeCell ref="I5:L5"/>
    <mergeCell ref="E5:F5"/>
    <mergeCell ref="A121:A155"/>
    <mergeCell ref="A94:A120"/>
    <mergeCell ref="A156:A160"/>
    <mergeCell ref="B107:B108"/>
    <mergeCell ref="C107:C108"/>
    <mergeCell ref="L137:L138"/>
    <mergeCell ref="L14:L15"/>
    <mergeCell ref="L10:L11"/>
    <mergeCell ref="B14:B16"/>
    <mergeCell ref="C14:C16"/>
    <mergeCell ref="L115:L116"/>
  </mergeCells>
  <pageMargins left="0.15748031496062992" right="0.15748031496062992" top="0.74803149606299213" bottom="0.74803149606299213" header="0.31496062992125984" footer="0.31496062992125984"/>
  <pageSetup paperSize="9" scale="65" orientation="landscape" r:id="rId1"/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2020-11-27T11:48:23Z</dcterms:modified>
</cp:coreProperties>
</file>