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320"/>
  </bookViews>
  <sheets>
    <sheet name="Лист1" sheetId="1" r:id="rId1"/>
  </sheets>
  <definedNames>
    <definedName name="_xlnm.Print_Titles" localSheetId="0">Лист1!$6:$7</definedName>
    <definedName name="_xlnm.Print_Area" localSheetId="0">Лист1!$B$1:$I$324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67" i="1" l="1"/>
  <c r="G67" i="1"/>
  <c r="H67" i="1"/>
  <c r="I67" i="1"/>
  <c r="E67" i="1"/>
  <c r="I11" i="1"/>
  <c r="H11" i="1"/>
  <c r="G11" i="1"/>
  <c r="F11" i="1"/>
  <c r="E11" i="1"/>
  <c r="F39" i="1"/>
  <c r="E39" i="1"/>
  <c r="F37" i="1"/>
  <c r="E37" i="1"/>
  <c r="I35" i="1"/>
  <c r="H35" i="1"/>
  <c r="G35" i="1"/>
  <c r="F35" i="1"/>
  <c r="E35" i="1"/>
  <c r="I33" i="1"/>
  <c r="H33" i="1"/>
  <c r="G33" i="1"/>
  <c r="F33" i="1"/>
  <c r="E33" i="1"/>
  <c r="I31" i="1"/>
  <c r="H31" i="1"/>
  <c r="G31" i="1"/>
  <c r="F31" i="1"/>
  <c r="I29" i="1"/>
  <c r="H29" i="1"/>
  <c r="G29" i="1"/>
  <c r="F29" i="1"/>
  <c r="E29" i="1"/>
  <c r="G296" i="1" l="1"/>
  <c r="H296" i="1" s="1"/>
  <c r="I296" i="1" s="1"/>
  <c r="I295" i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8" i="1"/>
  <c r="I288" i="1" s="1"/>
  <c r="F288" i="1"/>
  <c r="H287" i="1"/>
  <c r="I287" i="1" s="1"/>
  <c r="F287" i="1"/>
  <c r="H286" i="1"/>
  <c r="I286" i="1" s="1"/>
  <c r="H285" i="1"/>
  <c r="I285" i="1" s="1"/>
  <c r="H284" i="1"/>
  <c r="I284" i="1" s="1"/>
  <c r="H283" i="1"/>
  <c r="I283" i="1" s="1"/>
  <c r="I282" i="1"/>
  <c r="H281" i="1"/>
  <c r="I281" i="1" s="1"/>
  <c r="E281" i="1"/>
  <c r="G280" i="1"/>
  <c r="H280" i="1" s="1"/>
  <c r="I280" i="1" s="1"/>
  <c r="F280" i="1"/>
  <c r="E280" i="1"/>
  <c r="G279" i="1"/>
  <c r="H279" i="1" s="1"/>
  <c r="I279" i="1" s="1"/>
  <c r="F279" i="1"/>
  <c r="E279" i="1"/>
  <c r="H278" i="1"/>
  <c r="I278" i="1" s="1"/>
  <c r="H277" i="1"/>
  <c r="I277" i="1" s="1"/>
  <c r="H275" i="1"/>
  <c r="I275" i="1" s="1"/>
  <c r="E274" i="1"/>
  <c r="H273" i="1"/>
  <c r="I273" i="1" s="1"/>
  <c r="E273" i="1"/>
  <c r="G272" i="1"/>
  <c r="H272" i="1" s="1"/>
  <c r="I272" i="1" s="1"/>
  <c r="F272" i="1"/>
  <c r="E272" i="1"/>
  <c r="G271" i="1"/>
  <c r="H271" i="1" s="1"/>
  <c r="I271" i="1" s="1"/>
  <c r="F271" i="1"/>
  <c r="E271" i="1"/>
  <c r="G270" i="1"/>
  <c r="H270" i="1" s="1"/>
  <c r="I270" i="1" s="1"/>
  <c r="F270" i="1"/>
  <c r="E270" i="1"/>
  <c r="G269" i="1"/>
  <c r="H269" i="1" s="1"/>
  <c r="I269" i="1" s="1"/>
  <c r="F269" i="1"/>
  <c r="E269" i="1"/>
  <c r="G268" i="1"/>
  <c r="H268" i="1" s="1"/>
  <c r="I268" i="1" s="1"/>
  <c r="F268" i="1"/>
  <c r="E268" i="1"/>
  <c r="G267" i="1"/>
  <c r="H267" i="1" s="1"/>
  <c r="I267" i="1" s="1"/>
  <c r="F267" i="1"/>
  <c r="E267" i="1"/>
  <c r="H266" i="1"/>
  <c r="I266" i="1" s="1"/>
  <c r="E266" i="1"/>
  <c r="H265" i="1"/>
  <c r="I265" i="1" s="1"/>
  <c r="E265" i="1"/>
  <c r="E312" i="1"/>
  <c r="F312" i="1"/>
  <c r="G312" i="1"/>
  <c r="H312" i="1"/>
  <c r="I312" i="1"/>
  <c r="H263" i="1"/>
  <c r="I263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3" i="1"/>
  <c r="I233" i="1" s="1"/>
  <c r="H232" i="1"/>
  <c r="I232" i="1" s="1"/>
  <c r="H231" i="1"/>
  <c r="I231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9" i="1"/>
  <c r="I219" i="1" s="1"/>
  <c r="H218" i="1"/>
  <c r="I218" i="1" s="1"/>
  <c r="H217" i="1"/>
  <c r="I217" i="1" s="1"/>
  <c r="H216" i="1"/>
  <c r="I216" i="1" s="1"/>
  <c r="H215" i="1"/>
  <c r="I215" i="1" s="1"/>
  <c r="H214" i="1"/>
  <c r="I214" i="1" s="1"/>
  <c r="H213" i="1"/>
  <c r="I213" i="1" s="1"/>
  <c r="H212" i="1"/>
  <c r="I212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I139" i="1"/>
  <c r="H139" i="1"/>
  <c r="G139" i="1"/>
  <c r="E137" i="1"/>
  <c r="I70" i="1"/>
  <c r="H70" i="1"/>
  <c r="G70" i="1"/>
  <c r="F70" i="1"/>
  <c r="G27" i="1"/>
  <c r="H27" i="1" s="1"/>
  <c r="I27" i="1" s="1"/>
  <c r="F27" i="1"/>
  <c r="E27" i="1"/>
  <c r="G26" i="1"/>
  <c r="H26" i="1" s="1"/>
  <c r="I26" i="1" s="1"/>
  <c r="F26" i="1"/>
  <c r="E26" i="1"/>
  <c r="G15" i="1"/>
  <c r="H15" i="1" s="1"/>
  <c r="F15" i="1"/>
  <c r="E15" i="1"/>
  <c r="H14" i="1"/>
  <c r="I14" i="1" s="1"/>
  <c r="G13" i="1"/>
  <c r="H13" i="1" s="1"/>
  <c r="I13" i="1" s="1"/>
  <c r="F13" i="1"/>
  <c r="E13" i="1"/>
  <c r="I12" i="1"/>
  <c r="H12" i="1"/>
  <c r="G12" i="1"/>
  <c r="F12" i="1"/>
  <c r="E12" i="1"/>
  <c r="K132" i="1" l="1"/>
  <c r="I15" i="1"/>
  <c r="L132" i="1" l="1"/>
  <c r="M132" i="1"/>
  <c r="N132" i="1"/>
  <c r="J10" i="1"/>
  <c r="K10" i="1" l="1"/>
  <c r="J132" i="1" l="1"/>
  <c r="L10" i="1" l="1"/>
  <c r="M10" i="1"/>
  <c r="N10" i="1"/>
  <c r="J318" i="1" l="1"/>
  <c r="E326" i="1"/>
  <c r="F326" i="1"/>
  <c r="F329" i="1" s="1"/>
  <c r="G326" i="1"/>
  <c r="G329" i="1" s="1"/>
  <c r="H326" i="1" l="1"/>
  <c r="H329" i="1" s="1"/>
  <c r="I326" i="1"/>
  <c r="I329" i="1" s="1"/>
</calcChain>
</file>

<file path=xl/sharedStrings.xml><?xml version="1.0" encoding="utf-8"?>
<sst xmlns="http://schemas.openxmlformats.org/spreadsheetml/2006/main" count="630" uniqueCount="205">
  <si>
    <t>ОБРАЗОВАНИЕ</t>
  </si>
  <si>
    <t>КУЛЬТУРА</t>
  </si>
  <si>
    <t>ФИЗИЧЕСКАЯ КУЛЬТУРА И СПОРТ</t>
  </si>
  <si>
    <t>НАЦИОНАЛЬНАЯ ЭКОНОМИКА</t>
  </si>
  <si>
    <t>Техническое сопровождение и эксплуатация, вывод из эксплуатации информационных систем и компонентов информационно-телекоммуникационной инфраструктуры</t>
  </si>
  <si>
    <t xml:space="preserve">Реализация дополнительных общеразвивающих программ </t>
  </si>
  <si>
    <t>МУНИЦИПАЛЬНЫЕ РАБОТЫ:</t>
  </si>
  <si>
    <t>МУНИЦИПАЛЬНЫЕ УСЛУГИ:</t>
  </si>
  <si>
    <t>Число обучающихся (человек)</t>
  </si>
  <si>
    <t>Реализация основных общеобразовательных программ начального общего образования</t>
  </si>
  <si>
    <t>Количество человек (человек)</t>
  </si>
  <si>
    <t>Количество человеко-часов (Человеко-час)</t>
  </si>
  <si>
    <t>Количество мероприятий (единица)</t>
  </si>
  <si>
    <t>Количество заявок (штука)</t>
  </si>
  <si>
    <t xml:space="preserve">к пояснительной записке </t>
  </si>
  <si>
    <t>Приложение 5</t>
  </si>
  <si>
    <t>Число воспитанников (человек)</t>
  </si>
  <si>
    <t xml:space="preserve">Реализация основных общеобразовательных программ дошкольного образования </t>
  </si>
  <si>
    <t>Организация отдыха детей и молодежи (в сфере культура)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</si>
  <si>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</si>
  <si>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СРЕДСТВА МАССОВОЙ ИНФОРМАЦИИ</t>
  </si>
  <si>
    <t>Осуществление издательской деятельности</t>
  </si>
  <si>
    <t>Производство и выпуск сетевого издания (содержание порталов в информационно-коммуниуационной сети Интернет)</t>
  </si>
  <si>
    <t>кол-во телепередач, ч.</t>
  </si>
  <si>
    <t>Создание и развитие информационных систем и компонентов информационно-телекоммуникационной инфраструктуры</t>
  </si>
  <si>
    <t>Показ кинофильмов (бесплатно)</t>
  </si>
  <si>
    <t>Показ кинофильмов (платно)</t>
  </si>
  <si>
    <t>Организация и проведение мероприятий</t>
  </si>
  <si>
    <t>Показ(организация показа) концертных программ (стационарно, бесплатно)</t>
  </si>
  <si>
    <t>Показ(организация показа) концертных программ (стационар, платно)</t>
  </si>
  <si>
    <t>Показ(организация показа) концертных программ (на выезде, бесплатно)</t>
  </si>
  <si>
    <t xml:space="preserve">Показ (организация показа) спектаклей (театральных постановок) (стационар, бесплатно) </t>
  </si>
  <si>
    <t xml:space="preserve">Показ (организация показа) спектаклей (театральных постановок) (стационар, платно) </t>
  </si>
  <si>
    <t>Библиотченое,библиографическое и информационное обслуживание пользователей библиотек(в стационаре)</t>
  </si>
  <si>
    <t>Библиотченое,библиографическое и информационное обслуживание пользователей библиотек(удаленно через интернет)</t>
  </si>
  <si>
    <t>Библиотченое,библиографическое и информационное обслуживание пользователей библиотек(вне стационара)</t>
  </si>
  <si>
    <t>Публичный показ музейных предметов, музейных коллекций (в стационаре платно )</t>
  </si>
  <si>
    <t>Публичный показ музейных предметов, музейных коллекций (вне стационара, платно)</t>
  </si>
  <si>
    <t>Публичный показ музейных предметов, музейных коллекций (в стационара, бесплатно)</t>
  </si>
  <si>
    <t>Публичный показ музейных предметов, музейных коллекций (вне стационара, бесплатно)</t>
  </si>
  <si>
    <t>человек</t>
  </si>
  <si>
    <t>единиц</t>
  </si>
  <si>
    <t>Библиографическая обработка документов и создание каталогов</t>
  </si>
  <si>
    <t>Формирование, учет, изучение, обеспечение сохранения и безопасности музейных предметов, музейных коллекций</t>
  </si>
  <si>
    <t>Создание экспозиций (выставок) музеев, организация выездных выставок</t>
  </si>
  <si>
    <t>Производство и распространение телепрограмм</t>
  </si>
  <si>
    <t>Организация и проведение официальных спортивных мероприятий (межрегиональные)</t>
  </si>
  <si>
    <t>Организация и проведение официальных физкультурных (физкультурно-оздоровительных) мероприятий (муниципальные)</t>
  </si>
  <si>
    <t>Организация мероприятий по подготовке спортивных сборных команд</t>
  </si>
  <si>
    <t>Организация и проведение физкультурных и спортивных мероприятий в рамках ВФСК "ГТО"</t>
  </si>
  <si>
    <t>Проведение тестирования выполнения нормативов испытания (тестов) комплекса ГТО</t>
  </si>
  <si>
    <t>Человеко-час</t>
  </si>
  <si>
    <t>Человеко-день</t>
  </si>
  <si>
    <t>Реализация дополнительных общеобразовательных предпрофессиональных программ в области искусств (Фортепиано)</t>
  </si>
  <si>
    <t>Реализация дополнительных предпрофессиональных программ в области искусства (хореографическое творчество)</t>
  </si>
  <si>
    <t>Реализация дополнительных предпрофессиональных программ в области искусства (народные инструменты)</t>
  </si>
  <si>
    <t>Реализация дополнительных предпрофессиональных программ в области искусства (струнные инструменты)</t>
  </si>
  <si>
    <t>Реализация дополнительных предпрофессиональных программ в области искусства (инструменты эстрадного оркестра)</t>
  </si>
  <si>
    <t>2025 год</t>
  </si>
  <si>
    <t>Обеспечение участия спортивных сборных команд в официальных спортивных мероприятиях (региональные)</t>
  </si>
  <si>
    <t>Организация отдыха детей и молодежи (детские сады, школы)</t>
  </si>
  <si>
    <t xml:space="preserve">Количество человек (человек) </t>
  </si>
  <si>
    <t>количество мероприятий (штука)</t>
  </si>
  <si>
    <t>Организация отдыха детей и молодежи (в сфере молодежной политики)</t>
  </si>
  <si>
    <t>Количество мероприятий (единиц)</t>
  </si>
  <si>
    <t>Количество кружков и секций, клубов, любительских объединений (единиц)</t>
  </si>
  <si>
    <t xml:space="preserve">Организация досуга детей,подростков и молодежи </t>
  </si>
  <si>
    <t>Организация мероприятий в сфере молодежной политики,направленных на вовлечение молодежи в инновационную,предпринимательскую,добровольческую деятельность,а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</si>
  <si>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</si>
  <si>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2026 год</t>
  </si>
  <si>
    <t>контроль</t>
  </si>
  <si>
    <t>кол-во мероприятий</t>
  </si>
  <si>
    <t>количество мероприятий</t>
  </si>
  <si>
    <t>количество посещений</t>
  </si>
  <si>
    <t xml:space="preserve">Организация досуга детей, подростков и молодежи (в сфере физической культуры и спорта) </t>
  </si>
  <si>
    <t xml:space="preserve">Организация мероприятий по подготовке спортивных сборных команд </t>
  </si>
  <si>
    <t xml:space="preserve">Реализация дополнительных образовательных программ спортивной подготовки по олимпийским видам спорта  (учебно-тренировочный этап) прыжки на батуте </t>
  </si>
  <si>
    <t xml:space="preserve">Реализация дополнительных образовательных программ спортивной подготовки по олимпийским видам спорта  (учебно-тренировочный этап) бокс </t>
  </si>
  <si>
    <t xml:space="preserve">Реализация дополнительных образовательных программ спортивной подготовки по неолимпийским видам спорта  (этап  начальной подготовки) спортивная акробатика </t>
  </si>
  <si>
    <t xml:space="preserve">Реализация дополнительных образовательных программ спортивной подготовки по неолимпийским видам спорта  (этап  начальной подготовки) пауэрлифтинг </t>
  </si>
  <si>
    <t xml:space="preserve">Реализация дополнительных образовательных программ спортивной подготовки по неолимпийским видам спорта  (этап  начальной подготовки) киокусинкай </t>
  </si>
  <si>
    <t xml:space="preserve">Реализация дополнительных образовательных программ спортивной подготовки по неолимпийским видам спорта  (этап  начальной подготовки) каратэ </t>
  </si>
  <si>
    <t xml:space="preserve">Реализация дополнительных образовательных программ спортивной подготовки по неолимпийским видам спорта  (учебно-тренировочный этап) рукопашный бой </t>
  </si>
  <si>
    <t xml:space="preserve">Реализация дополнительных образовательных программ спортивной подготовки по неолимпийским видам спорта  (учебно-тренировочный этап) киокусинкай </t>
  </si>
  <si>
    <t xml:space="preserve">Реализация дополнительных образовательных программ спортивной подготовки по неолимпийским видам спорта  (учебно-тренировочный этап) армрестлинг </t>
  </si>
  <si>
    <t xml:space="preserve">Реализация дополнительных образовательных программ спортивной подготовки по неолимпийским видам спорта  (этап спортивного совершенствования) спортивная акробатика </t>
  </si>
  <si>
    <t xml:space="preserve">Реализация дополнительных образовательных программ спортивной подготовки по адаптивным видам спорта  (этап начальной подготовки) Спорт лиц с интелектуальными нарушениями </t>
  </si>
  <si>
    <t xml:space="preserve">Реализация дополнительных образовательных программ спортивной подготовки по адаптивным видам спорта  (этап начальной подготовки) Спорт лиц с поражением ОДА </t>
  </si>
  <si>
    <t xml:space="preserve">Организация и обеспечение подготовки спортивного резерва </t>
  </si>
  <si>
    <t xml:space="preserve">Организация и проведение официальных спортивных мероприятий (муниципальные) </t>
  </si>
  <si>
    <t xml:space="preserve">Организация и проведение физической реабилитации для инвалида (инвалида - ребенка, людей с ОВЗ, в том числе с участием членов их семей и /или сопровождающих) </t>
  </si>
  <si>
    <t xml:space="preserve">РзПр КЦСР </t>
  </si>
  <si>
    <t>Наименование муниципальной услуги/работы</t>
  </si>
  <si>
    <t>Наименование показателя, единицы измерения</t>
  </si>
  <si>
    <t>Проект</t>
  </si>
  <si>
    <t>тыс.рублей</t>
  </si>
  <si>
    <t>Количество человеко-часов</t>
  </si>
  <si>
    <t>Количество человеко-дней</t>
  </si>
  <si>
    <t>Количество печатных страниц, шт.</t>
  </si>
  <si>
    <t>Размещение информации ,Мб</t>
  </si>
  <si>
    <t>0709 2510820010</t>
  </si>
  <si>
    <t>0702 2510200590</t>
  </si>
  <si>
    <t>Реализация дополнительных образовательных программ спортивной подготовки по неолимпийским видам спорта  (этап  начальной подготовки) рукопашный бой</t>
  </si>
  <si>
    <t>Организация деятельности клубных формирований и формирований самодеятельного народного творчества</t>
  </si>
  <si>
    <t>Организация досуга детей, подростков и молодежи     Культурно-досуговые, спортивно-массовые мероприятия</t>
  </si>
  <si>
    <t>(человек)</t>
  </si>
  <si>
    <t xml:space="preserve">Реализация дополнительных образовательных программ спортивной подготовки по неолимпийским видам спорта  (учебно-тренировочный этап) пауэрлифтинг </t>
  </si>
  <si>
    <t xml:space="preserve">Реализация дополнительных образовательных программ спортивной подготовки по олимпийским видам спорта  (этап  начальной подготовки) тяжелая атлетика </t>
  </si>
  <si>
    <t xml:space="preserve">Реализация дополнительных образовательных программ спортивной подготовки по олимпийским видам спорта  (этап  начальной подготовки) баскетбол </t>
  </si>
  <si>
    <t xml:space="preserve">Реализация дополнительных образовательных программ спортивной подготовки по олимпийским видам спорта  (этап  начальной подготовки) футбол </t>
  </si>
  <si>
    <t xml:space="preserve">Реализация дополнительных образовательных программ спортивной подготовки по олимпийским видам спорта (этап спортивного совершенствования) футбол </t>
  </si>
  <si>
    <t xml:space="preserve">Отчет за 2023 год </t>
  </si>
  <si>
    <t>Оценка (ожидаемое исполнение) 2024 год</t>
  </si>
  <si>
    <t>2027 год</t>
  </si>
  <si>
    <t>0707 2441200590</t>
  </si>
  <si>
    <t>0707 2441499990</t>
  </si>
  <si>
    <t>0410 1241100590</t>
  </si>
  <si>
    <t>0709 2541920010</t>
  </si>
  <si>
    <t>Реализация дополнительных предпрофессиональных программ в области искусства (духовые и ударные инструменты)</t>
  </si>
  <si>
    <t>Реализация дополнительных общеразвивающих программ</t>
  </si>
  <si>
    <t xml:space="preserve">0703  0910661700 </t>
  </si>
  <si>
    <t>0703  0910661700 ?</t>
  </si>
  <si>
    <t xml:space="preserve">Реализация дополнительных образовательных программ спортивной подготовки по олимпийским видам спорта, Футбол (этап начальной подготовки) </t>
  </si>
  <si>
    <t>количество человек (человек)</t>
  </si>
  <si>
    <t xml:space="preserve">Реализация дополнительных образовательных программ спортивной подготовки по олимпийским видам спорта, Футбол (тренировочный этап) </t>
  </si>
  <si>
    <t xml:space="preserve">Реализация дополнительных образовательных программ спортивной подготовки по олимпийским видам спорта, Лыжные гонки (этап начальной подготовки) </t>
  </si>
  <si>
    <t>Реализация дополнительных образовательных программ спортивной подготовки по олимпийским видам спорта, Лыжные гонки (тренировочный этап)</t>
  </si>
  <si>
    <t>Реализация дополнительных образовательных программ спортивной подготовки по олимпийским видам спорта, Волейбол (этап начальной подготовки)</t>
  </si>
  <si>
    <t>Реализация дополнительных образовательных программ спортивной подготовки по олимпийским видам спорта, Волейбол (тренировочный этап)</t>
  </si>
  <si>
    <t>Реализация дополнительных образовательных программ спортивной подготовки по олимпийским видам спорта, Конный спорт (этап начальной подготовки)</t>
  </si>
  <si>
    <t>Реализация дополнительных образовательных программ спортивной подготовки по олимпийским видам спорта, Конный спорт (тренировочный этап)</t>
  </si>
  <si>
    <t>Реализация дополнительных образовательных программ спортивной подготовки по олимпийским видам спорта, Фигурное катание (этап начальной подготовки)</t>
  </si>
  <si>
    <t>Реализация дополнительных образовательных программ спортивной подготовки по олимпийским видам спорта, Фигурное катание (тренировочный этап)</t>
  </si>
  <si>
    <t>Реализация дополнительных образовательных программ спортивной подготовки по олимпийским видам спорта, Хоккей (этап начальной подготовки)</t>
  </si>
  <si>
    <t>Реализация дополнительных образовательных программ спортивной подготовки по олимпийским видам спорта, Хоккей (тренировочный этап)</t>
  </si>
  <si>
    <t>Реализация дополнительных образовательных программ спортивной подготовки по неолимпийским видам спорта, Мотоциклетный спорт (этап начальной подготовки)</t>
  </si>
  <si>
    <t>Реализация дополнительных образовательных программ спортивной подготовки по неолимпийским видам спорта, Мотоциклетный спорт (тренировочный этап)</t>
  </si>
  <si>
    <t>Реализация дополнительных образовательных программ спортивной подготовки по неолимпийским видам спорта, Пауэрлифтинг (этап начальной подготовки)</t>
  </si>
  <si>
    <t>Реализация дополнительных образовательных программ спортивной подготовки по неолимпийским видам спорта, Полиатлон (этап начальной подготовки)</t>
  </si>
  <si>
    <t xml:space="preserve">Реализация дополнительных образовательных программ спортивной подготовки по неолимпийским видам спорта, Полиатлон (тренировочный этап) </t>
  </si>
  <si>
    <t>Реализация дополнительных образовательных программ спортивной подготовки по неолимпийским видам спорта, Полиатлон (этап совершенствования спортивного мастерства)</t>
  </si>
  <si>
    <t>ед.</t>
  </si>
  <si>
    <t>количество привлеченных лиц</t>
  </si>
  <si>
    <t xml:space="preserve">количество занимающихся </t>
  </si>
  <si>
    <t>количество лиц,прошедших спортивную подготовку</t>
  </si>
  <si>
    <t>количество спортивных сборных команд</t>
  </si>
  <si>
    <t>Организация и проведение официальных спортивных мероприятий (региональные)</t>
  </si>
  <si>
    <t>Пропаганда физической культуры, спорта и здорового образа жизни</t>
  </si>
  <si>
    <t>Реализация дополнительных образовательных программ спортивной подготовки по олимпийским видам спорта  (этап  начальной подготовки) прыжки на батуте</t>
  </si>
  <si>
    <t>Реализация дополнительных образовательных программ спортивной подготовки по олимпийским видам спорта  (этап  начальной подготовки) бокс</t>
  </si>
  <si>
    <t>Реализация дополнительных образовательных программ спортивной подготовки по олимпийским видам спорта  (этап  начальной подготовки) плавание</t>
  </si>
  <si>
    <t>Реализация дополнительных образовательных программ спортивной подготовки по олимпийским видам спорта  (этап  начальной подготовки) дзюдо</t>
  </si>
  <si>
    <t xml:space="preserve">Реализация дополнительных образовательных программ спортивной подготовки по олимпийским видам спорта  (учебно-тренировочный этап) плавание </t>
  </si>
  <si>
    <t xml:space="preserve">Реализация дополнительных образовательных программ спортивной подготовки по олимпийским видам спорта  (учебно-тренировочный этап) тяжелая атлетика </t>
  </si>
  <si>
    <t xml:space="preserve">Реализация дополнительных образовательных программ спортивной подготовки по олимпийским видам спорта (учебно-тренировочный этап) баскетбол </t>
  </si>
  <si>
    <t xml:space="preserve">Реализация дополнительных образовательных программ спортивной подготовки по олимпийским видам спорта (учебно-тренировочный этап) футбол </t>
  </si>
  <si>
    <t>Реализация дополнительных образовательных программ спортивной подготовки по олимпийским видам спорта  (этап спортивного совершенствования) прыжки на батуте</t>
  </si>
  <si>
    <t xml:space="preserve">Реализация дополнительных образовательных программ спортивной подготовки по олимпийским видам спорта  (этап спортивного совершенствования) бокс </t>
  </si>
  <si>
    <t xml:space="preserve">Реализация дополнительных образовательных программ спортивной подготовки по неолимпийским видам спорта  (этап  начальной подготовки) самбо </t>
  </si>
  <si>
    <t>Реализация дополнительных образовательных программ спортивной подготовки по неолимпийским видам спорта  (учебно-тренировочный этап) спортивная акробатика</t>
  </si>
  <si>
    <t xml:space="preserve">Реализация дополнительных образовательных программ спортивной подготовки по адаптивным видам спорта  (учебно-тренировочный этап) Спорт лиц с интелектуальными нарушениями </t>
  </si>
  <si>
    <t xml:space="preserve">Реализация дополнительных образовательных программ спортивной подготовки по адаптивным видам спорта  (учебно-тренировочный этап) Спорт лиц с поражением ОДА </t>
  </si>
  <si>
    <t xml:space="preserve">Реализация дополнительных образовательных программ спортивной подготовки по олимпийским видас спорта (учебно-тренировоный этап(этап спортивной специализации)) прыжки на батуте </t>
  </si>
  <si>
    <t xml:space="preserve">Реализация дополнительных образовательных программ спортивной подготовки по олимпийским видас спорта (учебно-тренировоный этап(этап спортивной специализации)) бокс </t>
  </si>
  <si>
    <t xml:space="preserve">Реализация дополнительных образовательных программ спортивной подготовки по олимпийским видас спорта (учебно-тренировоный этап(этап спортивной специализации)) плавание </t>
  </si>
  <si>
    <t xml:space="preserve">Реализация дополнительных образовательных программ спортивной подготовки по олимпийским видас спорта (учебно-тренировоный этап(этап спортивной специализации)) баскетбол </t>
  </si>
  <si>
    <t xml:space="preserve">Реализация дополнительных образовательных программ спортивной подготовки по олимпийским видас спорта (учебно-тренировоный этап(этап спортивной специализации)) футбол </t>
  </si>
  <si>
    <t xml:space="preserve">Реализация дополнительных образовательных программ спортивной подготовки по олимпийским видам спорта (этап спортивного совершенствования спортивного мастерства) прыжки на батуте </t>
  </si>
  <si>
    <t xml:space="preserve">Реализация дополнительных образовательных программ спортивной подготовки по олимпийским видам спорта (этап спортивного совершенствования спортивного мастерства) бокс </t>
  </si>
  <si>
    <t>Реализация дополнительных образовательных программ спортивной подготовки по олимпийским видам спорта (этап спортивного совершенствования спортивного мастерства) футбол</t>
  </si>
  <si>
    <t xml:space="preserve">Реализация дополнительных образовательных программ спортивной подготовки по неолимпийским видам спорта (учебно-тренировочный этап(этап спортивной специализации) спортивная акробатика </t>
  </si>
  <si>
    <t xml:space="preserve">Реализация дополнительных образовательных программ спортивной подготовки по неолимпийским видам спорта (учебно-тренировочный этап(этап спортивной специализации) пауэрлифтинг </t>
  </si>
  <si>
    <t xml:space="preserve">Реализация дополнительных образовательных программ спортивной подготовки по неолимпийским видам спорта (учебно-тренировочный этап(этап спортивной специализации) рукопашный бой </t>
  </si>
  <si>
    <t xml:space="preserve">Реализация дополнительных образовательных программ спортивной подготовки по неолимпийским видам спорта (учебно-тренировочный этап(этап спортивной специализации) киокусинкай </t>
  </si>
  <si>
    <t xml:space="preserve">Реализация дополнительных образовательных программ спортивной подготовки по неолимпийским видам спорта (учебно-тренировочный этап(этап спортивной специализации) армреслинг </t>
  </si>
  <si>
    <t xml:space="preserve">Реализация дополнительных образовательных программ спортивной подготовки по адаптивным видам спорта (учебно-тренировочный этап (этап спортивной специализации) Спорт лиц с интелектуальными нарушениями </t>
  </si>
  <si>
    <t xml:space="preserve">Реалиализация дополнительных образовательных программ спортивной подготовки по адаптивным видам спорта (учебно-тренировочный этап(этап спортивной специализации) спорт лиц с поражением ОДА </t>
  </si>
  <si>
    <t xml:space="preserve">Обеспечение участия лиц, проходящих спортивную подготовку, в спортивных соревнований (региональные) </t>
  </si>
  <si>
    <t xml:space="preserve">Обеспечение участия лиц, проходящих спортивную подготовку, в спортивных соревнований (межрегиональные) </t>
  </si>
  <si>
    <t xml:space="preserve">Обеспечение участия лиц, проходящих спортивную подготовку, в спортивных соревнований (всероссийские) </t>
  </si>
  <si>
    <t xml:space="preserve">Организация и проведение спортивно-оздоровительной работы по развитию физической культуры и спорта различных групп населения </t>
  </si>
  <si>
    <t xml:space="preserve">Организация отдыха детей и молодежи </t>
  </si>
  <si>
    <t xml:space="preserve">Пропаганда физической культуры,спорта и здорового образа жизни </t>
  </si>
  <si>
    <t>штук</t>
  </si>
  <si>
    <t>1103 0941400590</t>
  </si>
  <si>
    <t>1103 0941400590;                                                                                                                                                                                                                                                                                                                                                                                                                                                                                                                                   1101 0941400590</t>
  </si>
  <si>
    <t>1101 0941400590</t>
  </si>
  <si>
    <t>Реализация дополнительных общеобразовательных предпрофессиональных програм в области искусств</t>
  </si>
  <si>
    <t xml:space="preserve"> Реализация дополнительных   общеразвивающих программ ("Точка роста)</t>
  </si>
  <si>
    <t>Присмотр и уход</t>
  </si>
  <si>
    <t xml:space="preserve">Предоставление питания </t>
  </si>
  <si>
    <t>0701 2541100590</t>
  </si>
  <si>
    <t>0701 2541184301</t>
  </si>
  <si>
    <t>0702 2541100590</t>
  </si>
  <si>
    <t>0702 2541184303</t>
  </si>
  <si>
    <t>0702 2541184306</t>
  </si>
  <si>
    <t>0702 2541884030</t>
  </si>
  <si>
    <t>0703 2541100590</t>
  </si>
  <si>
    <t>0709 2541984080</t>
  </si>
  <si>
    <t>1202 0841100590</t>
  </si>
  <si>
    <t>0801 0641800590</t>
  </si>
  <si>
    <t>0703 0641800590</t>
  </si>
  <si>
    <t>Сведения о планируемых на 2025 год и на плановый период 2026 и 2027 годов объемах оказания муниципальных услуг (работ) муниципальными бюджетными и автономными учреждениями городского округа Мегион Ханты-Мансийского автономного округа-Югры, а также о планируемых объемах субсидий на их финансовое обеспечение в сравнении с ожидаемым исполнением за 2024 год (оценка текущего финансового года) и отчетом за 2023 год (отчетный финансовый год)</t>
  </si>
  <si>
    <t>0709 2530120010</t>
  </si>
  <si>
    <t>Организация отдыха детей и молодежи (в сфере физическая культура и спорт)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</si>
</sst>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_ ;\-#,##0\ "/>
    <numFmt numFmtId="167" formatCode="0.0"/>
    <numFmt numFmtId="168" formatCode="_-* #,##0_-;\-* #,##0_-;_-* &quot;-&quot;??_-;_-@_-"/>
    <numFmt numFmtId="169" formatCode="_-* #,##0.0\ _₽_-;\-* #,##0.0\ _₽_-;_-* &quot;-&quot;?\ _₽_-;_-@_-"/>
    <numFmt numFmtId="170" formatCode="_-* #,##0.00\ _₽_-;\-* #,##0.00\ _₽_-;_-* &quot;-&quot;??\ _₽_-;_-@_-"/>
    <numFmt numFmtId="171" formatCode="#,##0.0_ ;\-#,##0.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43" fontId="10" fillId="0" borderId="0" applyFont="0" applyFill="0" applyBorder="0" applyAlignment="0" applyProtection="0"/>
    <xf numFmtId="0" fontId="3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1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164" fontId="6" fillId="0" borderId="1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7" fontId="1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/>
    <xf numFmtId="164" fontId="1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7" fontId="12" fillId="0" borderId="0" xfId="0" applyNumberFormat="1" applyFont="1" applyFill="1" applyAlignment="1">
      <alignment horizontal="center" vertical="center"/>
    </xf>
    <xf numFmtId="169" fontId="4" fillId="0" borderId="0" xfId="0" applyNumberFormat="1" applyFont="1" applyFill="1"/>
    <xf numFmtId="0" fontId="9" fillId="0" borderId="6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wrapText="1"/>
    </xf>
    <xf numFmtId="168" fontId="4" fillId="0" borderId="0" xfId="1" applyNumberFormat="1" applyFont="1" applyFill="1" applyAlignment="1">
      <alignment vertical="center" wrapText="1"/>
    </xf>
    <xf numFmtId="170" fontId="4" fillId="0" borderId="0" xfId="0" applyNumberFormat="1" applyFont="1" applyFill="1" applyAlignment="1">
      <alignment wrapText="1"/>
    </xf>
    <xf numFmtId="165" fontId="4" fillId="0" borderId="0" xfId="1" applyNumberFormat="1" applyFont="1" applyFill="1" applyAlignment="1">
      <alignment wrapText="1"/>
    </xf>
    <xf numFmtId="44" fontId="4" fillId="0" borderId="0" xfId="1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 wrapText="1"/>
    </xf>
    <xf numFmtId="164" fontId="11" fillId="3" borderId="0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Border="1" applyAlignment="1">
      <alignment horizontal="center" vertical="center"/>
    </xf>
    <xf numFmtId="44" fontId="4" fillId="0" borderId="0" xfId="1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Alignment="1">
      <alignment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4" fillId="0" borderId="1" xfId="0" applyFont="1" applyFill="1" applyBorder="1"/>
    <xf numFmtId="43" fontId="4" fillId="0" borderId="1" xfId="1" applyFont="1" applyFill="1" applyBorder="1" applyAlignment="1"/>
    <xf numFmtId="164" fontId="6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 wrapText="1"/>
    </xf>
    <xf numFmtId="166" fontId="4" fillId="3" borderId="1" xfId="1" applyNumberFormat="1" applyFont="1" applyFill="1" applyBorder="1" applyAlignment="1">
      <alignment horizontal="center" vertical="center" wrapText="1"/>
    </xf>
    <xf numFmtId="171" fontId="4" fillId="3" borderId="1" xfId="1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171" fontId="4" fillId="0" borderId="1" xfId="1" applyNumberFormat="1" applyFont="1" applyFill="1" applyBorder="1" applyAlignment="1">
      <alignment horizontal="center" vertical="center" wrapText="1"/>
    </xf>
    <xf numFmtId="166" fontId="4" fillId="0" borderId="1" xfId="1" applyNumberFormat="1" applyFont="1" applyFill="1" applyBorder="1" applyAlignment="1">
      <alignment horizontal="center" vertical="center"/>
    </xf>
    <xf numFmtId="166" fontId="4" fillId="3" borderId="1" xfId="1" applyNumberFormat="1" applyFont="1" applyFill="1" applyBorder="1" applyAlignment="1">
      <alignment horizontal="center" vertical="center"/>
    </xf>
    <xf numFmtId="171" fontId="4" fillId="0" borderId="1" xfId="1" applyNumberFormat="1" applyFont="1" applyFill="1" applyBorder="1" applyAlignment="1">
      <alignment horizontal="center" vertical="center"/>
    </xf>
    <xf numFmtId="171" fontId="4" fillId="3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/>
    </xf>
    <xf numFmtId="167" fontId="4" fillId="3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8" fontId="4" fillId="0" borderId="1" xfId="1" applyNumberFormat="1" applyFont="1" applyFill="1" applyBorder="1" applyAlignment="1">
      <alignment horizontal="center" vertical="center"/>
    </xf>
    <xf numFmtId="1" fontId="4" fillId="0" borderId="1" xfId="4" applyNumberFormat="1" applyFont="1" applyFill="1" applyBorder="1" applyAlignment="1">
      <alignment horizontal="center" vertical="center" wrapText="1"/>
    </xf>
    <xf numFmtId="168" fontId="4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7" fontId="4" fillId="3" borderId="1" xfId="4" applyNumberFormat="1" applyFont="1" applyFill="1" applyBorder="1" applyAlignment="1">
      <alignment horizontal="center" vertical="center" wrapText="1"/>
    </xf>
    <xf numFmtId="164" fontId="4" fillId="0" borderId="1" xfId="4" applyNumberFormat="1" applyFont="1" applyFill="1" applyBorder="1" applyAlignment="1">
      <alignment horizontal="center" vertical="center" wrapText="1"/>
    </xf>
    <xf numFmtId="164" fontId="4" fillId="3" borderId="1" xfId="4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168" fontId="4" fillId="3" borderId="1" xfId="1" applyNumberFormat="1" applyFont="1" applyFill="1" applyBorder="1" applyAlignment="1">
      <alignment horizontal="center" vertical="center"/>
    </xf>
    <xf numFmtId="166" fontId="4" fillId="3" borderId="6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4" fillId="0" borderId="1" xfId="3" applyNumberFormat="1" applyFont="1" applyFill="1" applyBorder="1" applyAlignment="1">
      <alignment horizontal="center" vertical="center"/>
    </xf>
    <xf numFmtId="3" fontId="4" fillId="0" borderId="1" xfId="3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/>
    <xf numFmtId="49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1" fillId="3" borderId="6" xfId="3" applyFont="1" applyFill="1" applyBorder="1" applyAlignment="1">
      <alignment horizontal="left" vertical="center" wrapText="1"/>
    </xf>
    <xf numFmtId="0" fontId="11" fillId="3" borderId="5" xfId="3" applyFont="1" applyFill="1" applyBorder="1" applyAlignment="1">
      <alignment horizontal="left" vertic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wrapText="1"/>
    </xf>
    <xf numFmtId="0" fontId="18" fillId="0" borderId="5" xfId="0" applyFont="1" applyFill="1" applyBorder="1" applyAlignment="1">
      <alignment wrapText="1"/>
    </xf>
    <xf numFmtId="0" fontId="18" fillId="0" borderId="8" xfId="0" applyFont="1" applyFill="1" applyBorder="1" applyAlignment="1">
      <alignment wrapText="1"/>
    </xf>
    <xf numFmtId="0" fontId="11" fillId="0" borderId="6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0" borderId="1" xfId="3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4" fillId="3" borderId="6" xfId="3" applyFont="1" applyFill="1" applyBorder="1" applyAlignment="1">
      <alignment horizontal="left" vertical="center" wrapText="1"/>
    </xf>
    <xf numFmtId="0" fontId="4" fillId="3" borderId="5" xfId="3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</cellXfs>
  <cellStyles count="12">
    <cellStyle name="Денежный" xfId="11" builtinId="4"/>
    <cellStyle name="Обычный" xfId="0" builtinId="0"/>
    <cellStyle name="Обычный 2" xfId="3"/>
    <cellStyle name="Обычный 4" xfId="2"/>
    <cellStyle name="Обычный 4 2" xfId="6"/>
    <cellStyle name="Обычный 4 3" xfId="9"/>
    <cellStyle name="Финансовый" xfId="1" builtinId="3"/>
    <cellStyle name="Финансовый 2" xfId="4"/>
    <cellStyle name="Финансовый 2 2" xfId="7"/>
    <cellStyle name="Финансовый 2 3" xfId="10"/>
    <cellStyle name="Финансовый 3" xfId="5"/>
    <cellStyle name="Финансовый 4" xfId="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2"/>
  <sheetViews>
    <sheetView tabSelected="1" zoomScaleNormal="100" workbookViewId="0">
      <pane ySplit="7" topLeftCell="A317" activePane="bottomLeft" state="frozen"/>
      <selection pane="bottomLeft" activeCell="R74" sqref="R74"/>
    </sheetView>
  </sheetViews>
  <sheetFormatPr defaultRowHeight="12.75" x14ac:dyDescent="0.2"/>
  <cols>
    <col min="1" max="1" width="9.140625" style="1"/>
    <col min="2" max="2" width="41.7109375" style="1" customWidth="1"/>
    <col min="3" max="3" width="28.7109375" style="16" customWidth="1"/>
    <col min="4" max="4" width="19.140625" style="16" customWidth="1"/>
    <col min="5" max="5" width="12.140625" style="1" customWidth="1"/>
    <col min="6" max="6" width="15" style="1" customWidth="1"/>
    <col min="7" max="7" width="15.28515625" style="1" customWidth="1"/>
    <col min="8" max="8" width="14.85546875" style="1" customWidth="1"/>
    <col min="9" max="9" width="13.140625" style="1" customWidth="1"/>
    <col min="10" max="12" width="14.5703125" style="1" hidden="1" customWidth="1"/>
    <col min="13" max="13" width="12.5703125" style="1" hidden="1" customWidth="1"/>
    <col min="14" max="14" width="17.28515625" style="1" hidden="1" customWidth="1"/>
    <col min="15" max="15" width="14.7109375" style="1" customWidth="1"/>
    <col min="16" max="16" width="12.42578125" style="1" customWidth="1"/>
    <col min="17" max="17" width="16.140625" style="1" customWidth="1"/>
    <col min="18" max="18" width="11.85546875" style="1" customWidth="1"/>
    <col min="19" max="19" width="12.85546875" style="1" customWidth="1"/>
    <col min="20" max="16384" width="9.140625" style="1"/>
  </cols>
  <sheetData>
    <row r="1" spans="1:17" x14ac:dyDescent="0.2">
      <c r="H1" s="171" t="s">
        <v>15</v>
      </c>
      <c r="I1" s="171"/>
    </row>
    <row r="2" spans="1:17" x14ac:dyDescent="0.2">
      <c r="H2" s="171" t="s">
        <v>14</v>
      </c>
      <c r="I2" s="171"/>
    </row>
    <row r="3" spans="1:17" x14ac:dyDescent="0.2">
      <c r="H3" s="142"/>
      <c r="I3" s="142"/>
    </row>
    <row r="4" spans="1:17" ht="75.75" customHeight="1" x14ac:dyDescent="0.25">
      <c r="B4" s="180" t="s">
        <v>202</v>
      </c>
      <c r="C4" s="180"/>
      <c r="D4" s="180"/>
      <c r="E4" s="180"/>
      <c r="F4" s="180"/>
      <c r="G4" s="180"/>
      <c r="H4" s="180"/>
      <c r="I4" s="180"/>
    </row>
    <row r="6" spans="1:17" s="16" customFormat="1" ht="19.5" customHeight="1" x14ac:dyDescent="0.25">
      <c r="B6" s="173" t="s">
        <v>92</v>
      </c>
      <c r="C6" s="173" t="s">
        <v>93</v>
      </c>
      <c r="D6" s="174" t="s">
        <v>91</v>
      </c>
      <c r="E6" s="173" t="s">
        <v>111</v>
      </c>
      <c r="F6" s="174" t="s">
        <v>112</v>
      </c>
      <c r="G6" s="172" t="s">
        <v>94</v>
      </c>
      <c r="H6" s="172"/>
      <c r="I6" s="172"/>
    </row>
    <row r="7" spans="1:17" s="2" customFormat="1" ht="38.25" customHeight="1" x14ac:dyDescent="0.25">
      <c r="B7" s="173"/>
      <c r="C7" s="173"/>
      <c r="D7" s="175"/>
      <c r="E7" s="173"/>
      <c r="F7" s="184"/>
      <c r="G7" s="29" t="s">
        <v>58</v>
      </c>
      <c r="H7" s="29" t="s">
        <v>69</v>
      </c>
      <c r="I7" s="29" t="s">
        <v>113</v>
      </c>
    </row>
    <row r="8" spans="1:17" ht="24.75" customHeight="1" x14ac:dyDescent="0.2">
      <c r="B8" s="181" t="s">
        <v>0</v>
      </c>
      <c r="C8" s="182"/>
      <c r="D8" s="182"/>
      <c r="E8" s="182"/>
      <c r="F8" s="182"/>
      <c r="G8" s="182"/>
      <c r="H8" s="182"/>
      <c r="I8" s="183"/>
    </row>
    <row r="9" spans="1:17" s="17" customFormat="1" ht="17.25" customHeight="1" x14ac:dyDescent="0.2">
      <c r="B9" s="6" t="s">
        <v>7</v>
      </c>
      <c r="C9" s="8"/>
      <c r="D9" s="22"/>
      <c r="E9" s="23"/>
      <c r="F9" s="23"/>
      <c r="G9" s="24"/>
      <c r="H9" s="24"/>
      <c r="I9" s="24"/>
    </row>
    <row r="10" spans="1:17" s="17" customFormat="1" ht="15.75" customHeight="1" x14ac:dyDescent="0.2">
      <c r="B10" s="155" t="s">
        <v>60</v>
      </c>
      <c r="C10" s="64" t="s">
        <v>61</v>
      </c>
      <c r="D10" s="136" t="s">
        <v>117</v>
      </c>
      <c r="E10" s="66">
        <v>3217</v>
      </c>
      <c r="F10" s="67">
        <v>2985</v>
      </c>
      <c r="G10" s="67">
        <v>2085</v>
      </c>
      <c r="H10" s="67">
        <v>2085</v>
      </c>
      <c r="I10" s="67">
        <v>2085</v>
      </c>
      <c r="J10" s="47" t="e">
        <f>SUM(#REF!-#REF!)</f>
        <v>#REF!</v>
      </c>
      <c r="K10" s="47" t="e">
        <f>SUM(#REF!-#REF!)</f>
        <v>#REF!</v>
      </c>
      <c r="L10" s="47" t="e">
        <f>SUM(#REF!-#REF!)</f>
        <v>#REF!</v>
      </c>
      <c r="M10" s="47" t="e">
        <f>SUM(#REF!-#REF!)</f>
        <v>#REF!</v>
      </c>
      <c r="N10" s="47" t="e">
        <f>SUM(#REF!-#REF!)</f>
        <v>#REF!</v>
      </c>
    </row>
    <row r="11" spans="1:17" s="17" customFormat="1" ht="15.75" customHeight="1" x14ac:dyDescent="0.2">
      <c r="B11" s="185"/>
      <c r="C11" s="107" t="s">
        <v>95</v>
      </c>
      <c r="D11" s="136" t="s">
        <v>198</v>
      </c>
      <c r="E11" s="66">
        <f>3610.72+16860.6</f>
        <v>20471.32</v>
      </c>
      <c r="F11" s="67">
        <f>9112.66+17659.5</f>
        <v>26772.16</v>
      </c>
      <c r="G11" s="137">
        <f>9657.06+18216</f>
        <v>27873.059999999998</v>
      </c>
      <c r="H11" s="137">
        <f>9657.06+18216</f>
        <v>27873.059999999998</v>
      </c>
      <c r="I11" s="137">
        <f>9657.06+18216</f>
        <v>27873.059999999998</v>
      </c>
    </row>
    <row r="12" spans="1:17" s="15" customFormat="1" ht="15.75" customHeight="1" x14ac:dyDescent="0.2">
      <c r="A12" s="62"/>
      <c r="B12" s="151" t="s">
        <v>204</v>
      </c>
      <c r="C12" s="110" t="s">
        <v>61</v>
      </c>
      <c r="D12" s="111" t="s">
        <v>203</v>
      </c>
      <c r="E12" s="112">
        <f>145+75</f>
        <v>220</v>
      </c>
      <c r="F12" s="110">
        <f>145+75</f>
        <v>220</v>
      </c>
      <c r="G12" s="110">
        <f>165+75</f>
        <v>240</v>
      </c>
      <c r="H12" s="110">
        <f>165+75</f>
        <v>240</v>
      </c>
      <c r="I12" s="110">
        <f>165+75</f>
        <v>240</v>
      </c>
      <c r="Q12" s="12"/>
    </row>
    <row r="13" spans="1:17" s="15" customFormat="1" ht="15.75" customHeight="1" x14ac:dyDescent="0.2">
      <c r="A13" s="62"/>
      <c r="B13" s="151"/>
      <c r="C13" s="110" t="s">
        <v>96</v>
      </c>
      <c r="D13" s="113" t="s">
        <v>203</v>
      </c>
      <c r="E13" s="112">
        <f>6840</f>
        <v>6840</v>
      </c>
      <c r="F13" s="70">
        <f>8550</f>
        <v>8550</v>
      </c>
      <c r="G13" s="70">
        <f>8550</f>
        <v>8550</v>
      </c>
      <c r="H13" s="70">
        <f>G13</f>
        <v>8550</v>
      </c>
      <c r="I13" s="70">
        <f>H13</f>
        <v>8550</v>
      </c>
    </row>
    <row r="14" spans="1:17" s="9" customFormat="1" ht="15.75" customHeight="1" x14ac:dyDescent="0.25">
      <c r="B14" s="151"/>
      <c r="C14" s="110" t="s">
        <v>97</v>
      </c>
      <c r="D14" s="113" t="s">
        <v>203</v>
      </c>
      <c r="E14" s="112">
        <v>1140</v>
      </c>
      <c r="F14" s="70">
        <v>1425</v>
      </c>
      <c r="G14" s="70">
        <v>1425</v>
      </c>
      <c r="H14" s="70">
        <f t="shared" ref="H14:I15" si="0">G14</f>
        <v>1425</v>
      </c>
      <c r="I14" s="70">
        <f t="shared" si="0"/>
        <v>1425</v>
      </c>
    </row>
    <row r="15" spans="1:17" s="9" customFormat="1" ht="15.75" customHeight="1" x14ac:dyDescent="0.2">
      <c r="B15" s="151"/>
      <c r="C15" s="71" t="s">
        <v>95</v>
      </c>
      <c r="D15" s="113" t="s">
        <v>203</v>
      </c>
      <c r="E15" s="112">
        <f>259.5+27.7-0.9</f>
        <v>286.3</v>
      </c>
      <c r="F15" s="70">
        <f>825+102.5</f>
        <v>927.5</v>
      </c>
      <c r="G15" s="70">
        <f>1325.1+392.9</f>
        <v>1718</v>
      </c>
      <c r="H15" s="70">
        <f t="shared" si="0"/>
        <v>1718</v>
      </c>
      <c r="I15" s="70">
        <f t="shared" si="0"/>
        <v>1718</v>
      </c>
    </row>
    <row r="16" spans="1:17" s="62" customFormat="1" ht="15.75" customHeight="1" x14ac:dyDescent="0.2">
      <c r="B16" s="186" t="s">
        <v>18</v>
      </c>
      <c r="C16" s="64" t="s">
        <v>51</v>
      </c>
      <c r="D16" s="178" t="s">
        <v>100</v>
      </c>
      <c r="E16" s="65">
        <v>5155</v>
      </c>
      <c r="F16" s="70">
        <v>5155</v>
      </c>
      <c r="G16" s="70">
        <v>5155</v>
      </c>
      <c r="H16" s="70">
        <v>5155</v>
      </c>
      <c r="I16" s="70">
        <v>5155</v>
      </c>
    </row>
    <row r="17" spans="1:9" s="62" customFormat="1" ht="15.75" customHeight="1" x14ac:dyDescent="0.2">
      <c r="B17" s="187"/>
      <c r="C17" s="68" t="s">
        <v>95</v>
      </c>
      <c r="D17" s="179"/>
      <c r="E17" s="65">
        <v>494.7</v>
      </c>
      <c r="F17" s="70">
        <v>506.07299999999998</v>
      </c>
      <c r="G17" s="70">
        <v>789.2</v>
      </c>
      <c r="H17" s="70">
        <v>789.2</v>
      </c>
      <c r="I17" s="70">
        <v>789.2</v>
      </c>
    </row>
    <row r="18" spans="1:9" s="62" customFormat="1" ht="15.75" customHeight="1" x14ac:dyDescent="0.2">
      <c r="B18" s="188" t="s">
        <v>18</v>
      </c>
      <c r="C18" s="64" t="s">
        <v>61</v>
      </c>
      <c r="D18" s="190" t="s">
        <v>100</v>
      </c>
      <c r="E18" s="74">
        <v>1800</v>
      </c>
      <c r="F18" s="74">
        <v>3600</v>
      </c>
      <c r="G18" s="74">
        <v>3600</v>
      </c>
      <c r="H18" s="74">
        <v>3600</v>
      </c>
      <c r="I18" s="70">
        <v>3600</v>
      </c>
    </row>
    <row r="19" spans="1:9" s="62" customFormat="1" ht="15.75" customHeight="1" x14ac:dyDescent="0.2">
      <c r="B19" s="189"/>
      <c r="C19" s="71" t="s">
        <v>95</v>
      </c>
      <c r="D19" s="179"/>
      <c r="E19" s="70">
        <v>90.6</v>
      </c>
      <c r="F19" s="70">
        <v>191.9</v>
      </c>
      <c r="G19" s="70">
        <v>196.9</v>
      </c>
      <c r="H19" s="70">
        <v>196.9</v>
      </c>
      <c r="I19" s="70">
        <v>196.9</v>
      </c>
    </row>
    <row r="20" spans="1:9" s="62" customFormat="1" ht="15.75" customHeight="1" x14ac:dyDescent="0.2">
      <c r="B20" s="176" t="s">
        <v>18</v>
      </c>
      <c r="C20" s="64" t="s">
        <v>52</v>
      </c>
      <c r="D20" s="178" t="s">
        <v>100</v>
      </c>
      <c r="E20" s="76">
        <v>1440</v>
      </c>
      <c r="F20" s="74">
        <v>0</v>
      </c>
      <c r="G20" s="74">
        <v>0</v>
      </c>
      <c r="H20" s="74">
        <v>0</v>
      </c>
      <c r="I20" s="70">
        <v>0</v>
      </c>
    </row>
    <row r="21" spans="1:9" s="62" customFormat="1" ht="15.75" customHeight="1" x14ac:dyDescent="0.2">
      <c r="B21" s="177"/>
      <c r="C21" s="107" t="s">
        <v>95</v>
      </c>
      <c r="D21" s="179"/>
      <c r="E21" s="76">
        <v>110</v>
      </c>
      <c r="F21" s="76">
        <v>0</v>
      </c>
      <c r="G21" s="74">
        <v>0</v>
      </c>
      <c r="H21" s="74">
        <v>0</v>
      </c>
      <c r="I21" s="70">
        <v>0</v>
      </c>
    </row>
    <row r="22" spans="1:9" s="62" customFormat="1" ht="15.75" customHeight="1" x14ac:dyDescent="0.2">
      <c r="B22" s="192" t="s">
        <v>63</v>
      </c>
      <c r="C22" s="64" t="s">
        <v>61</v>
      </c>
      <c r="D22" s="162" t="s">
        <v>117</v>
      </c>
      <c r="E22" s="65">
        <v>310</v>
      </c>
      <c r="F22" s="63">
        <v>310</v>
      </c>
      <c r="G22" s="63">
        <v>310</v>
      </c>
      <c r="H22" s="63">
        <v>310</v>
      </c>
      <c r="I22" s="63">
        <v>310</v>
      </c>
    </row>
    <row r="23" spans="1:9" s="62" customFormat="1" ht="15.75" customHeight="1" x14ac:dyDescent="0.2">
      <c r="B23" s="193"/>
      <c r="C23" s="68" t="s">
        <v>95</v>
      </c>
      <c r="D23" s="164"/>
      <c r="E23" s="66">
        <v>316.5</v>
      </c>
      <c r="F23" s="67">
        <v>743.3</v>
      </c>
      <c r="G23" s="67">
        <v>1041.9000000000001</v>
      </c>
      <c r="H23" s="67">
        <v>1041.9000000000001</v>
      </c>
      <c r="I23" s="67">
        <v>1041.9000000000001</v>
      </c>
    </row>
    <row r="24" spans="1:9" s="15" customFormat="1" ht="15.75" customHeight="1" x14ac:dyDescent="0.2">
      <c r="A24" s="62"/>
      <c r="B24" s="192" t="s">
        <v>63</v>
      </c>
      <c r="C24" s="60" t="s">
        <v>61</v>
      </c>
      <c r="D24" s="162" t="s">
        <v>114</v>
      </c>
      <c r="E24" s="58">
        <v>310</v>
      </c>
      <c r="F24" s="59">
        <v>310</v>
      </c>
      <c r="G24" s="59">
        <v>310</v>
      </c>
      <c r="H24" s="59">
        <v>310</v>
      </c>
      <c r="I24" s="59">
        <v>310</v>
      </c>
    </row>
    <row r="25" spans="1:9" s="15" customFormat="1" ht="15.75" customHeight="1" x14ac:dyDescent="0.2">
      <c r="A25" s="62"/>
      <c r="B25" s="193"/>
      <c r="C25" s="61" t="s">
        <v>95</v>
      </c>
      <c r="D25" s="175"/>
      <c r="E25" s="58">
        <v>6247.5</v>
      </c>
      <c r="F25" s="59">
        <v>7043.1</v>
      </c>
      <c r="G25" s="59">
        <v>8589</v>
      </c>
      <c r="H25" s="59">
        <v>8589</v>
      </c>
      <c r="I25" s="59">
        <v>8589</v>
      </c>
    </row>
    <row r="26" spans="1:9" s="62" customFormat="1" ht="17.25" customHeight="1" x14ac:dyDescent="0.2">
      <c r="B26" s="194" t="s">
        <v>119</v>
      </c>
      <c r="C26" s="5" t="s">
        <v>11</v>
      </c>
      <c r="D26" s="152" t="s">
        <v>120</v>
      </c>
      <c r="E26" s="114">
        <f>51040+51680</f>
        <v>102720</v>
      </c>
      <c r="F26" s="115">
        <f>51040+47200</f>
        <v>98240</v>
      </c>
      <c r="G26" s="115">
        <f>49022+49600</f>
        <v>98622</v>
      </c>
      <c r="H26" s="70">
        <f t="shared" ref="H26:I27" si="1">G26</f>
        <v>98622</v>
      </c>
      <c r="I26" s="70">
        <f t="shared" si="1"/>
        <v>98622</v>
      </c>
    </row>
    <row r="27" spans="1:9" s="62" customFormat="1" ht="13.5" customHeight="1" x14ac:dyDescent="0.2">
      <c r="B27" s="194"/>
      <c r="C27" s="110" t="s">
        <v>95</v>
      </c>
      <c r="D27" s="152" t="s">
        <v>121</v>
      </c>
      <c r="E27" s="116">
        <f>2902.3+1128.1</f>
        <v>4030.4</v>
      </c>
      <c r="F27" s="3">
        <f>14119.6+3157.3</f>
        <v>17276.900000000001</v>
      </c>
      <c r="G27" s="117">
        <f>8218.9+6633.3</f>
        <v>14852.2</v>
      </c>
      <c r="H27" s="70">
        <f t="shared" si="1"/>
        <v>14852.2</v>
      </c>
      <c r="I27" s="70">
        <f t="shared" si="1"/>
        <v>14852.2</v>
      </c>
    </row>
    <row r="28" spans="1:9" s="16" customFormat="1" ht="16.5" customHeight="1" x14ac:dyDescent="0.25">
      <c r="B28" s="176" t="s">
        <v>17</v>
      </c>
      <c r="C28" s="64" t="s">
        <v>8</v>
      </c>
      <c r="D28" s="131" t="s">
        <v>191</v>
      </c>
      <c r="E28" s="65">
        <v>2565</v>
      </c>
      <c r="F28" s="70">
        <v>2517</v>
      </c>
      <c r="G28" s="70">
        <v>2628</v>
      </c>
      <c r="H28" s="70">
        <v>2628</v>
      </c>
      <c r="I28" s="70">
        <v>2628</v>
      </c>
    </row>
    <row r="29" spans="1:9" s="62" customFormat="1" ht="16.5" customHeight="1" x14ac:dyDescent="0.2">
      <c r="B29" s="177"/>
      <c r="C29" s="107" t="s">
        <v>95</v>
      </c>
      <c r="D29" s="133" t="s">
        <v>192</v>
      </c>
      <c r="E29" s="66">
        <f>188031+878094.3+102435</f>
        <v>1168560.3</v>
      </c>
      <c r="F29" s="67">
        <f>202174.42+958296.3+113976</f>
        <v>1274446.72</v>
      </c>
      <c r="G29" s="137">
        <f>289298.55+979157.9+48616.2</f>
        <v>1317072.6499999999</v>
      </c>
      <c r="H29" s="137">
        <f>289298.55+988813.8+49095.7</f>
        <v>1327208.05</v>
      </c>
      <c r="I29" s="137">
        <f>289298.55+988813.8+49095.7</f>
        <v>1327208.05</v>
      </c>
    </row>
    <row r="30" spans="1:9" s="62" customFormat="1" ht="16.5" customHeight="1" x14ac:dyDescent="0.2">
      <c r="B30" s="155" t="s">
        <v>9</v>
      </c>
      <c r="C30" s="110" t="s">
        <v>8</v>
      </c>
      <c r="D30" s="131" t="s">
        <v>193</v>
      </c>
      <c r="E30" s="66">
        <v>2933</v>
      </c>
      <c r="F30" s="67">
        <v>2957</v>
      </c>
      <c r="G30" s="67">
        <v>2722</v>
      </c>
      <c r="H30" s="67">
        <v>2722</v>
      </c>
      <c r="I30" s="67">
        <v>2722</v>
      </c>
    </row>
    <row r="31" spans="1:9" s="62" customFormat="1" ht="16.5" customHeight="1" x14ac:dyDescent="0.2">
      <c r="B31" s="185"/>
      <c r="C31" s="107" t="s">
        <v>95</v>
      </c>
      <c r="D31" s="132" t="s">
        <v>194</v>
      </c>
      <c r="E31" s="66">
        <f>75557.66+419176.3</f>
        <v>494733.95999999996</v>
      </c>
      <c r="F31" s="67">
        <f>57118.4+467618.7</f>
        <v>524737.1</v>
      </c>
      <c r="G31" s="137">
        <f>66549.44+452687.2</f>
        <v>519236.64</v>
      </c>
      <c r="H31" s="137">
        <f>66549.44+457149.8</f>
        <v>523699.24</v>
      </c>
      <c r="I31" s="137">
        <f>66549.44+457149.8</f>
        <v>523699.24</v>
      </c>
    </row>
    <row r="32" spans="1:9" s="135" customFormat="1" ht="16.5" customHeight="1" x14ac:dyDescent="0.2">
      <c r="B32" s="155" t="s">
        <v>9</v>
      </c>
      <c r="C32" s="110" t="s">
        <v>8</v>
      </c>
      <c r="D32" s="131" t="s">
        <v>193</v>
      </c>
      <c r="E32" s="66">
        <v>618</v>
      </c>
      <c r="F32" s="67">
        <v>626</v>
      </c>
      <c r="G32" s="67">
        <v>642</v>
      </c>
      <c r="H32" s="67">
        <v>642</v>
      </c>
      <c r="I32" s="67">
        <v>642</v>
      </c>
    </row>
    <row r="33" spans="2:9" s="135" customFormat="1" ht="16.5" customHeight="1" x14ac:dyDescent="0.2">
      <c r="B33" s="185"/>
      <c r="C33" s="107" t="s">
        <v>95</v>
      </c>
      <c r="D33" s="132" t="s">
        <v>194</v>
      </c>
      <c r="E33" s="66">
        <f>16212.73+95692.8</f>
        <v>111905.53</v>
      </c>
      <c r="F33" s="67">
        <f>12292.63+106751.65</f>
        <v>119044.28</v>
      </c>
      <c r="G33" s="137">
        <f>15460.53+132037.2</f>
        <v>147497.73000000001</v>
      </c>
      <c r="H33" s="137">
        <f>15460.53+133339.4</f>
        <v>148799.93</v>
      </c>
      <c r="I33" s="137">
        <f>15460.53+133339.4</f>
        <v>148799.93</v>
      </c>
    </row>
    <row r="34" spans="2:9" s="135" customFormat="1" ht="16.5" customHeight="1" x14ac:dyDescent="0.2">
      <c r="B34" s="155" t="s">
        <v>9</v>
      </c>
      <c r="C34" s="64" t="s">
        <v>8</v>
      </c>
      <c r="D34" s="131" t="s">
        <v>193</v>
      </c>
      <c r="E34" s="66">
        <v>3567</v>
      </c>
      <c r="F34" s="67">
        <v>3545</v>
      </c>
      <c r="G34" s="67">
        <v>3501</v>
      </c>
      <c r="H34" s="67">
        <v>3501</v>
      </c>
      <c r="I34" s="67">
        <v>3501</v>
      </c>
    </row>
    <row r="35" spans="2:9" s="135" customFormat="1" ht="16.5" customHeight="1" x14ac:dyDescent="0.2">
      <c r="B35" s="185"/>
      <c r="C35" s="107" t="s">
        <v>95</v>
      </c>
      <c r="D35" s="132" t="s">
        <v>194</v>
      </c>
      <c r="E35" s="66">
        <f>92911.05+525270.5</f>
        <v>618181.55000000005</v>
      </c>
      <c r="F35" s="67">
        <f>69837.09+585973.7</f>
        <v>655810.78999999992</v>
      </c>
      <c r="G35" s="137">
        <f>86357.13+2273+758.4+645006.5</f>
        <v>734395.03</v>
      </c>
      <c r="H35" s="137">
        <f>86357.13+2273+758.4+651364.5</f>
        <v>740753.03</v>
      </c>
      <c r="I35" s="137">
        <f>86357.13+2273+758.4+651364.5</f>
        <v>740753.03</v>
      </c>
    </row>
    <row r="36" spans="2:9" s="135" customFormat="1" ht="16.5" customHeight="1" x14ac:dyDescent="0.2">
      <c r="B36" s="176" t="s">
        <v>5</v>
      </c>
      <c r="C36" s="64" t="s">
        <v>8</v>
      </c>
      <c r="D36" s="131" t="s">
        <v>197</v>
      </c>
      <c r="E36" s="66">
        <v>533</v>
      </c>
      <c r="F36" s="67">
        <v>533</v>
      </c>
      <c r="G36" s="67">
        <v>537</v>
      </c>
      <c r="H36" s="67">
        <v>537</v>
      </c>
      <c r="I36" s="67">
        <v>537</v>
      </c>
    </row>
    <row r="37" spans="2:9" s="135" customFormat="1" ht="16.5" customHeight="1" x14ac:dyDescent="0.2">
      <c r="B37" s="177"/>
      <c r="C37" s="107" t="s">
        <v>95</v>
      </c>
      <c r="D37" s="133" t="s">
        <v>193</v>
      </c>
      <c r="E37" s="66">
        <f>10058.4+21354.1</f>
        <v>31412.5</v>
      </c>
      <c r="F37" s="67">
        <f>9779.91+23071.9</f>
        <v>32851.81</v>
      </c>
      <c r="G37" s="137">
        <v>13221.94</v>
      </c>
      <c r="H37" s="137">
        <v>13221.94</v>
      </c>
      <c r="I37" s="137">
        <v>13221.94</v>
      </c>
    </row>
    <row r="38" spans="2:9" s="135" customFormat="1" ht="16.5" customHeight="1" x14ac:dyDescent="0.2">
      <c r="B38" s="155" t="s">
        <v>187</v>
      </c>
      <c r="C38" s="110" t="s">
        <v>8</v>
      </c>
      <c r="D38" s="131" t="s">
        <v>197</v>
      </c>
      <c r="E38" s="66">
        <v>67</v>
      </c>
      <c r="F38" s="67">
        <v>67</v>
      </c>
      <c r="G38" s="67">
        <v>63</v>
      </c>
      <c r="H38" s="67">
        <v>63</v>
      </c>
      <c r="I38" s="67">
        <v>63</v>
      </c>
    </row>
    <row r="39" spans="2:9" s="135" customFormat="1" ht="16.5" customHeight="1" x14ac:dyDescent="0.2">
      <c r="B39" s="156"/>
      <c r="C39" s="107" t="s">
        <v>95</v>
      </c>
      <c r="D39" s="133" t="s">
        <v>193</v>
      </c>
      <c r="E39" s="66">
        <f>1264.4+2444.43</f>
        <v>3708.83</v>
      </c>
      <c r="F39" s="67">
        <f>1105.9+2900.22</f>
        <v>4006.12</v>
      </c>
      <c r="G39" s="137">
        <v>1551.18</v>
      </c>
      <c r="H39" s="137">
        <v>1551.18</v>
      </c>
      <c r="I39" s="137">
        <v>1551.18</v>
      </c>
    </row>
    <row r="40" spans="2:9" s="62" customFormat="1" ht="16.5" customHeight="1" x14ac:dyDescent="0.2">
      <c r="B40" s="155" t="s">
        <v>188</v>
      </c>
      <c r="C40" s="64" t="s">
        <v>8</v>
      </c>
      <c r="D40" s="162" t="s">
        <v>195</v>
      </c>
      <c r="E40" s="66">
        <v>0</v>
      </c>
      <c r="F40" s="67">
        <v>0</v>
      </c>
      <c r="G40" s="137">
        <v>1000</v>
      </c>
      <c r="H40" s="137">
        <v>1000</v>
      </c>
      <c r="I40" s="137">
        <v>1000</v>
      </c>
    </row>
    <row r="41" spans="2:9" s="62" customFormat="1" ht="16.5" customHeight="1" x14ac:dyDescent="0.2">
      <c r="B41" s="156"/>
      <c r="C41" s="107" t="s">
        <v>95</v>
      </c>
      <c r="D41" s="206"/>
      <c r="E41" s="66">
        <v>0</v>
      </c>
      <c r="F41" s="67">
        <v>0</v>
      </c>
      <c r="G41" s="137">
        <v>19548</v>
      </c>
      <c r="H41" s="137">
        <v>19548</v>
      </c>
      <c r="I41" s="137">
        <v>19548</v>
      </c>
    </row>
    <row r="42" spans="2:9" s="62" customFormat="1" ht="16.5" customHeight="1" x14ac:dyDescent="0.2">
      <c r="B42" s="155" t="s">
        <v>190</v>
      </c>
      <c r="C42" s="110" t="s">
        <v>8</v>
      </c>
      <c r="D42" s="131" t="s">
        <v>193</v>
      </c>
      <c r="E42" s="138">
        <v>5499</v>
      </c>
      <c r="F42" s="138">
        <v>4861</v>
      </c>
      <c r="G42" s="138">
        <v>4585</v>
      </c>
      <c r="H42" s="138">
        <v>4585</v>
      </c>
      <c r="I42" s="138">
        <v>4585</v>
      </c>
    </row>
    <row r="43" spans="2:9" s="62" customFormat="1" ht="16.5" customHeight="1" x14ac:dyDescent="0.2">
      <c r="B43" s="156"/>
      <c r="C43" s="107" t="s">
        <v>95</v>
      </c>
      <c r="D43" s="133" t="s">
        <v>196</v>
      </c>
      <c r="E43" s="138">
        <v>216132.84</v>
      </c>
      <c r="F43" s="138">
        <v>224763.5</v>
      </c>
      <c r="G43" s="138">
        <v>239549.08000000002</v>
      </c>
      <c r="H43" s="138">
        <v>239549.28000000003</v>
      </c>
      <c r="I43" s="138">
        <v>239551.08000000002</v>
      </c>
    </row>
    <row r="44" spans="2:9" s="62" customFormat="1" ht="21" customHeight="1" x14ac:dyDescent="0.2">
      <c r="B44" s="155" t="s">
        <v>189</v>
      </c>
      <c r="C44" s="110" t="s">
        <v>16</v>
      </c>
      <c r="D44" s="178" t="s">
        <v>101</v>
      </c>
      <c r="E44" s="67">
        <v>2565</v>
      </c>
      <c r="F44" s="67">
        <v>2429</v>
      </c>
      <c r="G44" s="67">
        <v>2628</v>
      </c>
      <c r="H44" s="67">
        <v>2628</v>
      </c>
      <c r="I44" s="67">
        <v>2628</v>
      </c>
    </row>
    <row r="45" spans="2:9" s="62" customFormat="1" ht="17.25" hidden="1" customHeight="1" x14ac:dyDescent="0.2">
      <c r="B45" s="196"/>
      <c r="C45" s="107" t="s">
        <v>95</v>
      </c>
      <c r="D45" s="197" t="s">
        <v>101</v>
      </c>
      <c r="E45" s="139"/>
      <c r="F45" s="140"/>
      <c r="G45" s="140"/>
      <c r="H45" s="140"/>
      <c r="I45" s="140"/>
    </row>
    <row r="46" spans="2:9" s="62" customFormat="1" ht="22.5" customHeight="1" x14ac:dyDescent="0.2">
      <c r="B46" s="198" t="s">
        <v>5</v>
      </c>
      <c r="C46" s="76" t="s">
        <v>11</v>
      </c>
      <c r="D46" s="162" t="s">
        <v>201</v>
      </c>
      <c r="E46" s="77">
        <v>65061</v>
      </c>
      <c r="F46" s="77">
        <v>65061</v>
      </c>
      <c r="G46" s="77">
        <v>268738</v>
      </c>
      <c r="H46" s="77">
        <v>268738</v>
      </c>
      <c r="I46" s="70">
        <v>0</v>
      </c>
    </row>
    <row r="47" spans="2:9" s="62" customFormat="1" ht="18.75" customHeight="1" x14ac:dyDescent="0.2">
      <c r="B47" s="199"/>
      <c r="C47" s="107" t="s">
        <v>95</v>
      </c>
      <c r="D47" s="164"/>
      <c r="E47" s="81"/>
      <c r="F47" s="81"/>
      <c r="G47" s="81">
        <v>59825.1</v>
      </c>
      <c r="H47" s="81">
        <v>59825.1</v>
      </c>
      <c r="I47" s="70">
        <v>0</v>
      </c>
    </row>
    <row r="48" spans="2:9" s="62" customFormat="1" ht="25.5" customHeight="1" x14ac:dyDescent="0.2">
      <c r="B48" s="198" t="s">
        <v>5</v>
      </c>
      <c r="C48" s="76" t="s">
        <v>11</v>
      </c>
      <c r="D48" s="162" t="s">
        <v>201</v>
      </c>
      <c r="E48" s="108"/>
      <c r="F48" s="108"/>
      <c r="G48" s="108">
        <v>65061</v>
      </c>
      <c r="H48" s="108">
        <v>65061</v>
      </c>
      <c r="I48" s="70">
        <v>0</v>
      </c>
    </row>
    <row r="49" spans="2:10" s="62" customFormat="1" ht="15.75" hidden="1" customHeight="1" x14ac:dyDescent="0.2">
      <c r="B49" s="200"/>
      <c r="C49" s="76" t="s">
        <v>8</v>
      </c>
      <c r="D49" s="163"/>
      <c r="E49" s="74">
        <v>23400</v>
      </c>
      <c r="F49" s="108">
        <v>23400</v>
      </c>
      <c r="G49" s="108"/>
      <c r="H49" s="108"/>
      <c r="I49" s="70">
        <v>0</v>
      </c>
    </row>
    <row r="50" spans="2:10" s="62" customFormat="1" ht="15.75" hidden="1" customHeight="1" x14ac:dyDescent="0.2">
      <c r="B50" s="200"/>
      <c r="C50" s="76" t="s">
        <v>8</v>
      </c>
      <c r="D50" s="163"/>
      <c r="E50" s="74">
        <v>52294</v>
      </c>
      <c r="F50" s="108">
        <v>52294</v>
      </c>
      <c r="G50" s="108"/>
      <c r="H50" s="108"/>
      <c r="I50" s="70">
        <v>0</v>
      </c>
    </row>
    <row r="51" spans="2:10" s="62" customFormat="1" ht="18.75" customHeight="1" x14ac:dyDescent="0.2">
      <c r="B51" s="199"/>
      <c r="C51" s="107" t="s">
        <v>95</v>
      </c>
      <c r="D51" s="164"/>
      <c r="E51" s="70">
        <v>25512.5</v>
      </c>
      <c r="F51" s="70">
        <v>25512.5</v>
      </c>
      <c r="G51" s="70">
        <v>23400</v>
      </c>
      <c r="H51" s="70">
        <v>23400</v>
      </c>
      <c r="I51" s="70">
        <v>0</v>
      </c>
    </row>
    <row r="52" spans="2:10" s="62" customFormat="1" ht="26.25" customHeight="1" x14ac:dyDescent="0.2">
      <c r="B52" s="198" t="s">
        <v>53</v>
      </c>
      <c r="C52" s="76" t="s">
        <v>11</v>
      </c>
      <c r="D52" s="162" t="s">
        <v>201</v>
      </c>
      <c r="E52" s="108"/>
      <c r="F52" s="108"/>
      <c r="G52" s="108">
        <v>52294</v>
      </c>
      <c r="H52" s="108">
        <v>52294</v>
      </c>
      <c r="I52" s="70">
        <v>0</v>
      </c>
    </row>
    <row r="53" spans="2:10" s="62" customFormat="1" ht="15.75" hidden="1" customHeight="1" x14ac:dyDescent="0.2">
      <c r="B53" s="200"/>
      <c r="C53" s="76" t="s">
        <v>8</v>
      </c>
      <c r="D53" s="163"/>
      <c r="E53" s="74"/>
      <c r="F53" s="108"/>
      <c r="G53" s="108">
        <v>25512.5</v>
      </c>
      <c r="H53" s="108">
        <v>25512.5</v>
      </c>
      <c r="I53" s="70">
        <v>0</v>
      </c>
      <c r="J53" s="62">
        <v>25512.5</v>
      </c>
    </row>
    <row r="54" spans="2:10" s="62" customFormat="1" ht="15.75" hidden="1" customHeight="1" x14ac:dyDescent="0.2">
      <c r="B54" s="200"/>
      <c r="C54" s="76" t="s">
        <v>8</v>
      </c>
      <c r="D54" s="163"/>
      <c r="E54" s="74">
        <v>25512.5</v>
      </c>
      <c r="F54" s="108">
        <v>25512.5</v>
      </c>
      <c r="G54" s="108"/>
      <c r="H54" s="108"/>
      <c r="I54" s="70">
        <v>0</v>
      </c>
    </row>
    <row r="55" spans="2:10" s="62" customFormat="1" ht="15.75" hidden="1" customHeight="1" x14ac:dyDescent="0.2">
      <c r="B55" s="200"/>
      <c r="C55" s="76" t="s">
        <v>11</v>
      </c>
      <c r="D55" s="163"/>
      <c r="E55" s="74">
        <v>75651.55</v>
      </c>
      <c r="F55" s="108">
        <v>75651.55</v>
      </c>
      <c r="G55" s="108"/>
      <c r="H55" s="108"/>
      <c r="I55" s="70">
        <v>0</v>
      </c>
    </row>
    <row r="56" spans="2:10" s="62" customFormat="1" ht="19.5" customHeight="1" x14ac:dyDescent="0.2">
      <c r="B56" s="199"/>
      <c r="C56" s="107" t="s">
        <v>95</v>
      </c>
      <c r="D56" s="164"/>
      <c r="E56" s="70">
        <v>29409.5</v>
      </c>
      <c r="F56" s="109">
        <v>29409.5</v>
      </c>
      <c r="G56" s="109">
        <v>25512.5</v>
      </c>
      <c r="H56" s="109">
        <v>25512.5</v>
      </c>
      <c r="I56" s="70">
        <v>0</v>
      </c>
    </row>
    <row r="57" spans="2:10" s="62" customFormat="1" ht="23.25" customHeight="1" x14ac:dyDescent="0.2">
      <c r="B57" s="198" t="s">
        <v>55</v>
      </c>
      <c r="C57" s="76" t="s">
        <v>11</v>
      </c>
      <c r="D57" s="162" t="s">
        <v>201</v>
      </c>
      <c r="E57" s="108">
        <v>0</v>
      </c>
      <c r="F57" s="108">
        <v>0</v>
      </c>
      <c r="G57" s="74">
        <v>73746.67</v>
      </c>
      <c r="H57" s="74">
        <v>73746.67</v>
      </c>
      <c r="I57" s="70">
        <v>73746.67</v>
      </c>
    </row>
    <row r="58" spans="2:10" s="62" customFormat="1" ht="16.5" customHeight="1" x14ac:dyDescent="0.2">
      <c r="B58" s="199"/>
      <c r="C58" s="2" t="s">
        <v>95</v>
      </c>
      <c r="D58" s="164"/>
      <c r="E58" s="109">
        <v>0</v>
      </c>
      <c r="F58" s="109">
        <v>0</v>
      </c>
      <c r="G58" s="70">
        <v>31128.6</v>
      </c>
      <c r="H58" s="70">
        <v>34281.699999999997</v>
      </c>
      <c r="I58" s="70">
        <v>34281.699999999997</v>
      </c>
    </row>
    <row r="59" spans="2:10" s="62" customFormat="1" ht="24.75" customHeight="1" x14ac:dyDescent="0.2">
      <c r="B59" s="192" t="s">
        <v>57</v>
      </c>
      <c r="C59" s="76" t="s">
        <v>11</v>
      </c>
      <c r="D59" s="162" t="s">
        <v>201</v>
      </c>
      <c r="E59" s="108">
        <v>47215.33</v>
      </c>
      <c r="F59" s="108">
        <v>47215.33</v>
      </c>
      <c r="G59" s="74">
        <v>0</v>
      </c>
      <c r="H59" s="74">
        <v>0</v>
      </c>
      <c r="I59" s="70">
        <v>0</v>
      </c>
    </row>
    <row r="60" spans="2:10" s="62" customFormat="1" ht="24.75" customHeight="1" x14ac:dyDescent="0.2">
      <c r="B60" s="193"/>
      <c r="C60" s="76" t="s">
        <v>95</v>
      </c>
      <c r="D60" s="164"/>
      <c r="E60" s="109">
        <v>17581.900000000001</v>
      </c>
      <c r="F60" s="109">
        <v>17581.900000000001</v>
      </c>
      <c r="G60" s="70">
        <v>0</v>
      </c>
      <c r="H60" s="70">
        <v>0</v>
      </c>
      <c r="I60" s="70">
        <v>0</v>
      </c>
    </row>
    <row r="61" spans="2:10" s="62" customFormat="1" ht="23.25" customHeight="1" x14ac:dyDescent="0.2">
      <c r="B61" s="167" t="s">
        <v>118</v>
      </c>
      <c r="C61" s="76" t="s">
        <v>11</v>
      </c>
      <c r="D61" s="162" t="s">
        <v>201</v>
      </c>
      <c r="E61" s="108">
        <v>27385.78</v>
      </c>
      <c r="F61" s="108">
        <v>46946.45</v>
      </c>
      <c r="G61" s="74">
        <v>46946.45</v>
      </c>
      <c r="H61" s="74">
        <v>46946.45</v>
      </c>
      <c r="I61" s="70">
        <v>46946.45</v>
      </c>
    </row>
    <row r="62" spans="2:10" s="62" customFormat="1" ht="23.25" customHeight="1" x14ac:dyDescent="0.2">
      <c r="B62" s="168"/>
      <c r="C62" s="76" t="s">
        <v>95</v>
      </c>
      <c r="D62" s="164"/>
      <c r="E62" s="109">
        <v>13828.6</v>
      </c>
      <c r="F62" s="109">
        <v>18558.8</v>
      </c>
      <c r="G62" s="70">
        <v>20835.8</v>
      </c>
      <c r="H62" s="70">
        <v>20837.8</v>
      </c>
      <c r="I62" s="70">
        <v>20837.8</v>
      </c>
    </row>
    <row r="63" spans="2:10" s="62" customFormat="1" ht="25.5" customHeight="1" x14ac:dyDescent="0.2">
      <c r="B63" s="167" t="s">
        <v>56</v>
      </c>
      <c r="C63" s="76" t="s">
        <v>11</v>
      </c>
      <c r="D63" s="162" t="s">
        <v>201</v>
      </c>
      <c r="E63" s="108">
        <v>190867</v>
      </c>
      <c r="F63" s="108">
        <v>26812.44</v>
      </c>
      <c r="G63" s="74">
        <v>27895.11</v>
      </c>
      <c r="H63" s="74">
        <v>27895.11</v>
      </c>
      <c r="I63" s="70">
        <v>27895.11</v>
      </c>
    </row>
    <row r="64" spans="2:10" s="62" customFormat="1" ht="25.5" customHeight="1" x14ac:dyDescent="0.2">
      <c r="B64" s="168"/>
      <c r="C64" s="76" t="s">
        <v>95</v>
      </c>
      <c r="D64" s="164"/>
      <c r="E64" s="109">
        <v>38874.400000000001</v>
      </c>
      <c r="F64" s="109">
        <v>14642.6</v>
      </c>
      <c r="G64" s="70">
        <v>16394.099999999999</v>
      </c>
      <c r="H64" s="70">
        <v>16394.099999999999</v>
      </c>
      <c r="I64" s="70">
        <v>16394.099999999999</v>
      </c>
    </row>
    <row r="65" spans="1:9" s="62" customFormat="1" ht="24" customHeight="1" x14ac:dyDescent="0.2">
      <c r="B65" s="167" t="s">
        <v>54</v>
      </c>
      <c r="C65" s="76" t="s">
        <v>11</v>
      </c>
      <c r="D65" s="162" t="s">
        <v>201</v>
      </c>
      <c r="E65" s="108">
        <v>196647</v>
      </c>
      <c r="F65" s="108">
        <v>189265.78</v>
      </c>
      <c r="G65" s="108">
        <v>188528</v>
      </c>
      <c r="H65" s="108">
        <v>188528</v>
      </c>
      <c r="I65" s="70">
        <v>188528</v>
      </c>
    </row>
    <row r="66" spans="1:9" s="62" customFormat="1" ht="24" customHeight="1" x14ac:dyDescent="0.2">
      <c r="B66" s="168"/>
      <c r="C66" s="76" t="s">
        <v>95</v>
      </c>
      <c r="D66" s="164"/>
      <c r="E66" s="109">
        <v>34625.5</v>
      </c>
      <c r="F66" s="109">
        <v>40672.400000000001</v>
      </c>
      <c r="G66" s="109">
        <v>47641</v>
      </c>
      <c r="H66" s="109">
        <v>47641</v>
      </c>
      <c r="I66" s="70">
        <v>47641</v>
      </c>
    </row>
    <row r="67" spans="1:9" s="17" customFormat="1" ht="20.25" customHeight="1" x14ac:dyDescent="0.2">
      <c r="B67" s="6" t="s">
        <v>6</v>
      </c>
      <c r="C67" s="8"/>
      <c r="D67" s="8"/>
      <c r="E67" s="141">
        <f>E69+E72+E74+E76+E77+E79+E81+E83+E85</f>
        <v>48222.2</v>
      </c>
      <c r="F67" s="141">
        <f t="shared" ref="F67:I67" si="2">F69+F72+F74+F76+F77+F79+F81+F83+F85</f>
        <v>53649.5</v>
      </c>
      <c r="G67" s="141">
        <f t="shared" si="2"/>
        <v>73138.5</v>
      </c>
      <c r="H67" s="141">
        <f t="shared" si="2"/>
        <v>73138.5</v>
      </c>
      <c r="I67" s="141">
        <f t="shared" si="2"/>
        <v>73138.5</v>
      </c>
    </row>
    <row r="68" spans="1:9" s="16" customFormat="1" ht="18.75" customHeight="1" x14ac:dyDescent="0.25">
      <c r="B68" s="151" t="s">
        <v>74</v>
      </c>
      <c r="C68" s="110" t="s">
        <v>71</v>
      </c>
      <c r="D68" s="152" t="s">
        <v>203</v>
      </c>
      <c r="E68" s="74">
        <v>0</v>
      </c>
      <c r="F68" s="74">
        <v>29</v>
      </c>
      <c r="G68" s="74">
        <v>30</v>
      </c>
      <c r="H68" s="74">
        <v>30</v>
      </c>
      <c r="I68" s="74">
        <v>30</v>
      </c>
    </row>
    <row r="69" spans="1:9" s="16" customFormat="1" ht="18.75" customHeight="1" x14ac:dyDescent="0.2">
      <c r="B69" s="151"/>
      <c r="C69" s="71" t="s">
        <v>95</v>
      </c>
      <c r="D69" s="152"/>
      <c r="E69" s="70">
        <v>0</v>
      </c>
      <c r="F69" s="70">
        <v>0</v>
      </c>
      <c r="G69" s="70">
        <v>330</v>
      </c>
      <c r="H69" s="70">
        <v>330</v>
      </c>
      <c r="I69" s="70">
        <v>330</v>
      </c>
    </row>
    <row r="70" spans="1:9" s="16" customFormat="1" ht="18.75" customHeight="1" x14ac:dyDescent="0.25">
      <c r="B70" s="151"/>
      <c r="C70" s="110" t="s">
        <v>40</v>
      </c>
      <c r="D70" s="152"/>
      <c r="E70" s="74">
        <v>138</v>
      </c>
      <c r="F70" s="110">
        <f>906+230</f>
        <v>1136</v>
      </c>
      <c r="G70" s="74">
        <f>950+450</f>
        <v>1400</v>
      </c>
      <c r="H70" s="74">
        <f>950+450</f>
        <v>1400</v>
      </c>
      <c r="I70" s="74">
        <f>950+450</f>
        <v>1400</v>
      </c>
    </row>
    <row r="71" spans="1:9" s="16" customFormat="1" ht="19.5" customHeight="1" x14ac:dyDescent="0.25">
      <c r="B71" s="151"/>
      <c r="C71" s="110" t="s">
        <v>71</v>
      </c>
      <c r="D71" s="152"/>
      <c r="E71" s="52">
        <v>5</v>
      </c>
      <c r="F71" s="52">
        <v>12</v>
      </c>
      <c r="G71" s="52">
        <v>12</v>
      </c>
      <c r="H71" s="52">
        <v>12</v>
      </c>
      <c r="I71" s="52">
        <v>12</v>
      </c>
    </row>
    <row r="72" spans="1:9" s="16" customFormat="1" ht="16.5" customHeight="1" x14ac:dyDescent="0.2">
      <c r="B72" s="151"/>
      <c r="C72" s="71" t="s">
        <v>95</v>
      </c>
      <c r="D72" s="152"/>
      <c r="E72" s="70">
        <v>0.9</v>
      </c>
      <c r="F72" s="70">
        <v>340.2</v>
      </c>
      <c r="G72" s="70">
        <v>660</v>
      </c>
      <c r="H72" s="70">
        <v>660</v>
      </c>
      <c r="I72" s="70">
        <v>660</v>
      </c>
    </row>
    <row r="73" spans="1:9" s="17" customFormat="1" ht="60.75" customHeight="1" x14ac:dyDescent="0.2">
      <c r="B73" s="167" t="s">
        <v>19</v>
      </c>
      <c r="C73" s="73" t="s">
        <v>64</v>
      </c>
      <c r="D73" s="72"/>
      <c r="E73" s="69">
        <v>24</v>
      </c>
      <c r="F73" s="69">
        <v>24</v>
      </c>
      <c r="G73" s="74">
        <v>28</v>
      </c>
      <c r="H73" s="74">
        <v>28</v>
      </c>
      <c r="I73" s="74">
        <v>28</v>
      </c>
    </row>
    <row r="74" spans="1:9" s="17" customFormat="1" ht="30" customHeight="1" x14ac:dyDescent="0.2">
      <c r="B74" s="168"/>
      <c r="C74" s="71" t="s">
        <v>95</v>
      </c>
      <c r="D74" s="72" t="s">
        <v>114</v>
      </c>
      <c r="E74" s="70">
        <v>7653.2</v>
      </c>
      <c r="F74" s="70">
        <v>8395.6</v>
      </c>
      <c r="G74" s="70">
        <v>10521.5</v>
      </c>
      <c r="H74" s="70">
        <v>10521.5</v>
      </c>
      <c r="I74" s="70">
        <v>10521.5</v>
      </c>
    </row>
    <row r="75" spans="1:9" s="17" customFormat="1" ht="30" customHeight="1" x14ac:dyDescent="0.2">
      <c r="B75" s="167" t="s">
        <v>19</v>
      </c>
      <c r="C75" s="73" t="s">
        <v>10</v>
      </c>
      <c r="D75" s="72"/>
      <c r="E75" s="74">
        <v>1292</v>
      </c>
      <c r="F75" s="74">
        <v>1205</v>
      </c>
      <c r="G75" s="74">
        <v>1205</v>
      </c>
      <c r="H75" s="74">
        <v>1205</v>
      </c>
      <c r="I75" s="74">
        <v>1205</v>
      </c>
    </row>
    <row r="76" spans="1:9" s="17" customFormat="1" ht="30.75" customHeight="1" x14ac:dyDescent="0.2">
      <c r="B76" s="195"/>
      <c r="C76" s="71" t="s">
        <v>95</v>
      </c>
      <c r="D76" s="72" t="s">
        <v>115</v>
      </c>
      <c r="E76" s="70">
        <v>2406.5</v>
      </c>
      <c r="F76" s="70">
        <v>2999.8</v>
      </c>
      <c r="G76" s="70">
        <v>9112.5</v>
      </c>
      <c r="H76" s="70">
        <v>9112.5</v>
      </c>
      <c r="I76" s="70">
        <v>9112.5</v>
      </c>
    </row>
    <row r="77" spans="1:9" s="17" customFormat="1" ht="39" customHeight="1" x14ac:dyDescent="0.2">
      <c r="B77" s="168"/>
      <c r="C77" s="71" t="s">
        <v>95</v>
      </c>
      <c r="D77" s="72" t="s">
        <v>114</v>
      </c>
      <c r="E77" s="70">
        <v>3279.9</v>
      </c>
      <c r="F77" s="70">
        <v>3648.1</v>
      </c>
      <c r="G77" s="70">
        <v>4559.2</v>
      </c>
      <c r="H77" s="70">
        <v>4559.2</v>
      </c>
      <c r="I77" s="70">
        <v>4559.2</v>
      </c>
    </row>
    <row r="78" spans="1:9" s="17" customFormat="1" ht="38.25" customHeight="1" x14ac:dyDescent="0.2">
      <c r="B78" s="167" t="s">
        <v>68</v>
      </c>
      <c r="C78" s="73" t="s">
        <v>12</v>
      </c>
      <c r="D78" s="162" t="s">
        <v>114</v>
      </c>
      <c r="E78" s="69">
        <v>83</v>
      </c>
      <c r="F78" s="69">
        <v>83</v>
      </c>
      <c r="G78" s="74">
        <v>83</v>
      </c>
      <c r="H78" s="74">
        <v>83</v>
      </c>
      <c r="I78" s="74">
        <v>83</v>
      </c>
    </row>
    <row r="79" spans="1:9" s="17" customFormat="1" ht="42.75" customHeight="1" x14ac:dyDescent="0.2">
      <c r="B79" s="168"/>
      <c r="C79" s="69" t="s">
        <v>95</v>
      </c>
      <c r="D79" s="164"/>
      <c r="E79" s="75">
        <v>6768.1</v>
      </c>
      <c r="F79" s="75">
        <v>7424.7</v>
      </c>
      <c r="G79" s="70">
        <v>9304.7000000000007</v>
      </c>
      <c r="H79" s="70">
        <v>9304.7000000000007</v>
      </c>
      <c r="I79" s="70">
        <v>9304.7000000000007</v>
      </c>
    </row>
    <row r="80" spans="1:9" s="15" customFormat="1" ht="45" customHeight="1" x14ac:dyDescent="0.2">
      <c r="A80" s="62"/>
      <c r="B80" s="167" t="s">
        <v>67</v>
      </c>
      <c r="C80" s="73" t="s">
        <v>12</v>
      </c>
      <c r="D80" s="162" t="s">
        <v>114</v>
      </c>
      <c r="E80" s="69">
        <v>40</v>
      </c>
      <c r="F80" s="69">
        <v>40</v>
      </c>
      <c r="G80" s="74">
        <v>40</v>
      </c>
      <c r="H80" s="74">
        <v>40</v>
      </c>
      <c r="I80" s="74">
        <v>40</v>
      </c>
    </row>
    <row r="81" spans="1:16" s="15" customFormat="1" ht="37.5" customHeight="1" x14ac:dyDescent="0.2">
      <c r="A81" s="62"/>
      <c r="B81" s="168"/>
      <c r="C81" s="69" t="s">
        <v>95</v>
      </c>
      <c r="D81" s="164"/>
      <c r="E81" s="70">
        <v>6247.5</v>
      </c>
      <c r="F81" s="70">
        <v>6853.6</v>
      </c>
      <c r="G81" s="70">
        <v>8589</v>
      </c>
      <c r="H81" s="70">
        <v>8589</v>
      </c>
      <c r="I81" s="70">
        <v>8589</v>
      </c>
    </row>
    <row r="82" spans="1:16" s="15" customFormat="1" ht="27.75" customHeight="1" x14ac:dyDescent="0.2">
      <c r="A82" s="62"/>
      <c r="B82" s="155" t="s">
        <v>66</v>
      </c>
      <c r="C82" s="73" t="s">
        <v>12</v>
      </c>
      <c r="D82" s="162" t="s">
        <v>114</v>
      </c>
      <c r="E82" s="69">
        <v>242</v>
      </c>
      <c r="F82" s="69">
        <v>237</v>
      </c>
      <c r="G82" s="74">
        <v>237</v>
      </c>
      <c r="H82" s="74">
        <v>237</v>
      </c>
      <c r="I82" s="74">
        <v>237</v>
      </c>
    </row>
    <row r="83" spans="1:16" s="15" customFormat="1" ht="23.25" customHeight="1" x14ac:dyDescent="0.2">
      <c r="A83" s="62"/>
      <c r="B83" s="156"/>
      <c r="C83" s="71" t="s">
        <v>95</v>
      </c>
      <c r="D83" s="164"/>
      <c r="E83" s="70">
        <v>9891.7999999999993</v>
      </c>
      <c r="F83" s="70">
        <v>10851.5</v>
      </c>
      <c r="G83" s="70">
        <v>12883.1</v>
      </c>
      <c r="H83" s="70">
        <v>12883.1</v>
      </c>
      <c r="I83" s="70">
        <v>12883.1</v>
      </c>
    </row>
    <row r="84" spans="1:16" s="15" customFormat="1" ht="43.5" customHeight="1" x14ac:dyDescent="0.2">
      <c r="A84" s="62"/>
      <c r="B84" s="190" t="s">
        <v>66</v>
      </c>
      <c r="C84" s="73" t="s">
        <v>65</v>
      </c>
      <c r="D84" s="162" t="s">
        <v>114</v>
      </c>
      <c r="E84" s="74">
        <v>20</v>
      </c>
      <c r="F84" s="74">
        <v>20</v>
      </c>
      <c r="G84" s="74">
        <v>14</v>
      </c>
      <c r="H84" s="74">
        <v>14</v>
      </c>
      <c r="I84" s="74">
        <v>14</v>
      </c>
    </row>
    <row r="85" spans="1:16" s="15" customFormat="1" ht="25.5" customHeight="1" x14ac:dyDescent="0.2">
      <c r="A85" s="62"/>
      <c r="B85" s="179"/>
      <c r="C85" s="69" t="s">
        <v>95</v>
      </c>
      <c r="D85" s="164"/>
      <c r="E85" s="70">
        <v>11974.3</v>
      </c>
      <c r="F85" s="70">
        <v>13136</v>
      </c>
      <c r="G85" s="70">
        <v>17178.5</v>
      </c>
      <c r="H85" s="70">
        <v>17178.5</v>
      </c>
      <c r="I85" s="70">
        <v>17178.5</v>
      </c>
    </row>
    <row r="86" spans="1:16" s="15" customFormat="1" ht="33" customHeight="1" x14ac:dyDescent="0.2">
      <c r="A86" s="62"/>
      <c r="B86" s="143" t="s">
        <v>1</v>
      </c>
      <c r="C86" s="144"/>
      <c r="D86" s="144"/>
      <c r="E86" s="144"/>
      <c r="F86" s="144"/>
      <c r="G86" s="144"/>
      <c r="H86" s="144"/>
      <c r="I86" s="145"/>
      <c r="J86" s="26"/>
      <c r="K86" s="26"/>
      <c r="L86" s="26"/>
      <c r="M86" s="26"/>
      <c r="N86" s="26"/>
    </row>
    <row r="87" spans="1:16" s="17" customFormat="1" ht="15" customHeight="1" x14ac:dyDescent="0.2">
      <c r="B87" s="6" t="s">
        <v>7</v>
      </c>
      <c r="C87" s="8"/>
      <c r="D87" s="8"/>
      <c r="E87" s="7"/>
      <c r="F87" s="7"/>
      <c r="G87" s="7"/>
      <c r="H87" s="7"/>
      <c r="I87" s="7"/>
      <c r="L87" s="26"/>
      <c r="M87" s="26"/>
      <c r="N87" s="26"/>
      <c r="O87" s="26"/>
      <c r="P87" s="26"/>
    </row>
    <row r="88" spans="1:16" s="62" customFormat="1" ht="30.75" customHeight="1" x14ac:dyDescent="0.2">
      <c r="B88" s="167" t="s">
        <v>25</v>
      </c>
      <c r="C88" s="76" t="s">
        <v>61</v>
      </c>
      <c r="D88" s="162" t="s">
        <v>200</v>
      </c>
      <c r="E88" s="77">
        <v>4450</v>
      </c>
      <c r="F88" s="78">
        <v>4700</v>
      </c>
      <c r="G88" s="78">
        <v>4500</v>
      </c>
      <c r="H88" s="78">
        <v>4550</v>
      </c>
      <c r="I88" s="78">
        <v>4600</v>
      </c>
      <c r="M88" s="27"/>
      <c r="N88" s="27"/>
      <c r="O88" s="27"/>
    </row>
    <row r="89" spans="1:16" s="62" customFormat="1" ht="30.75" customHeight="1" x14ac:dyDescent="0.2">
      <c r="B89" s="168"/>
      <c r="C89" s="76" t="s">
        <v>95</v>
      </c>
      <c r="D89" s="164"/>
      <c r="E89" s="77">
        <v>14159</v>
      </c>
      <c r="F89" s="79">
        <v>7702.4</v>
      </c>
      <c r="G89" s="79">
        <v>6225.8</v>
      </c>
      <c r="H89" s="79">
        <v>6285.5</v>
      </c>
      <c r="I89" s="79">
        <v>6354.6</v>
      </c>
    </row>
    <row r="90" spans="1:16" s="62" customFormat="1" ht="25.5" customHeight="1" x14ac:dyDescent="0.2">
      <c r="B90" s="167" t="s">
        <v>26</v>
      </c>
      <c r="C90" s="76" t="s">
        <v>61</v>
      </c>
      <c r="D90" s="190" t="s">
        <v>200</v>
      </c>
      <c r="E90" s="77">
        <v>20000</v>
      </c>
      <c r="F90" s="78">
        <v>22725</v>
      </c>
      <c r="G90" s="78">
        <v>20000</v>
      </c>
      <c r="H90" s="78">
        <v>20000</v>
      </c>
      <c r="I90" s="78">
        <v>20000</v>
      </c>
    </row>
    <row r="91" spans="1:16" s="62" customFormat="1" ht="25.5" hidden="1" customHeight="1" x14ac:dyDescent="0.2">
      <c r="B91" s="195"/>
      <c r="C91" s="76" t="s">
        <v>40</v>
      </c>
      <c r="D91" s="191"/>
      <c r="E91" s="77">
        <v>0</v>
      </c>
      <c r="F91" s="78">
        <v>0</v>
      </c>
      <c r="G91" s="80"/>
      <c r="H91" s="80"/>
      <c r="I91" s="80"/>
    </row>
    <row r="92" spans="1:16" s="62" customFormat="1" ht="30.75" customHeight="1" x14ac:dyDescent="0.2">
      <c r="B92" s="168"/>
      <c r="C92" s="76" t="s">
        <v>95</v>
      </c>
      <c r="D92" s="179"/>
      <c r="E92" s="77">
        <v>59713</v>
      </c>
      <c r="F92" s="78">
        <v>22921.200000000001</v>
      </c>
      <c r="G92" s="79">
        <v>19116</v>
      </c>
      <c r="H92" s="79">
        <v>112587.6</v>
      </c>
      <c r="I92" s="79">
        <v>112587.6</v>
      </c>
    </row>
    <row r="93" spans="1:16" s="62" customFormat="1" ht="27.75" customHeight="1" x14ac:dyDescent="0.2">
      <c r="B93" s="155" t="s">
        <v>27</v>
      </c>
      <c r="C93" s="76" t="s">
        <v>61</v>
      </c>
      <c r="D93" s="190" t="s">
        <v>200</v>
      </c>
      <c r="E93" s="77">
        <v>95098</v>
      </c>
      <c r="F93" s="78">
        <v>72000</v>
      </c>
      <c r="G93" s="78">
        <v>95680</v>
      </c>
      <c r="H93" s="78">
        <v>97520</v>
      </c>
      <c r="I93" s="78">
        <v>99470</v>
      </c>
      <c r="J93" s="25"/>
    </row>
    <row r="94" spans="1:16" s="62" customFormat="1" ht="27.75" customHeight="1" x14ac:dyDescent="0.2">
      <c r="B94" s="156"/>
      <c r="C94" s="76" t="s">
        <v>95</v>
      </c>
      <c r="D94" s="179"/>
      <c r="E94" s="81">
        <v>18428</v>
      </c>
      <c r="F94" s="81">
        <v>86717.1</v>
      </c>
      <c r="G94" s="81">
        <v>113912.8</v>
      </c>
      <c r="H94" s="81">
        <v>116103.4</v>
      </c>
      <c r="I94" s="81">
        <v>118425</v>
      </c>
    </row>
    <row r="95" spans="1:16" s="62" customFormat="1" ht="25.5" customHeight="1" x14ac:dyDescent="0.2">
      <c r="B95" s="167" t="s">
        <v>28</v>
      </c>
      <c r="C95" s="76" t="s">
        <v>61</v>
      </c>
      <c r="D95" s="190" t="s">
        <v>200</v>
      </c>
      <c r="E95" s="82">
        <v>250</v>
      </c>
      <c r="F95" s="83">
        <v>4700</v>
      </c>
      <c r="G95" s="83">
        <v>4500</v>
      </c>
      <c r="H95" s="83">
        <v>4550</v>
      </c>
      <c r="I95" s="83">
        <v>4600</v>
      </c>
    </row>
    <row r="96" spans="1:16" s="62" customFormat="1" ht="37.5" customHeight="1" x14ac:dyDescent="0.2">
      <c r="B96" s="168"/>
      <c r="C96" s="76" t="s">
        <v>95</v>
      </c>
      <c r="D96" s="179"/>
      <c r="E96" s="84">
        <v>2732.98</v>
      </c>
      <c r="F96" s="85">
        <v>7702.4</v>
      </c>
      <c r="G96" s="85">
        <v>6225.8</v>
      </c>
      <c r="H96" s="85">
        <v>6285.5</v>
      </c>
      <c r="I96" s="85">
        <v>6354.6</v>
      </c>
    </row>
    <row r="97" spans="2:9" s="62" customFormat="1" ht="36.75" customHeight="1" x14ac:dyDescent="0.2">
      <c r="B97" s="167" t="s">
        <v>29</v>
      </c>
      <c r="C97" s="76" t="s">
        <v>61</v>
      </c>
      <c r="D97" s="190" t="s">
        <v>200</v>
      </c>
      <c r="E97" s="86">
        <v>500</v>
      </c>
      <c r="F97" s="83">
        <v>22725</v>
      </c>
      <c r="G97" s="83">
        <v>20000</v>
      </c>
      <c r="H97" s="83">
        <v>20000</v>
      </c>
      <c r="I97" s="83">
        <v>20000</v>
      </c>
    </row>
    <row r="98" spans="2:9" s="62" customFormat="1" ht="22.5" customHeight="1" x14ac:dyDescent="0.2">
      <c r="B98" s="168"/>
      <c r="C98" s="76" t="s">
        <v>95</v>
      </c>
      <c r="D98" s="179"/>
      <c r="E98" s="87">
        <v>5522.54</v>
      </c>
      <c r="F98" s="88">
        <v>22921.200000000001</v>
      </c>
      <c r="G98" s="88">
        <v>19116</v>
      </c>
      <c r="H98" s="88">
        <v>112587.6</v>
      </c>
      <c r="I98" s="88">
        <v>112587.6</v>
      </c>
    </row>
    <row r="99" spans="2:9" s="62" customFormat="1" ht="26.25" customHeight="1" x14ac:dyDescent="0.2">
      <c r="B99" s="167" t="s">
        <v>30</v>
      </c>
      <c r="C99" s="76" t="s">
        <v>61</v>
      </c>
      <c r="D99" s="190" t="s">
        <v>200</v>
      </c>
      <c r="E99" s="86">
        <v>2850</v>
      </c>
      <c r="F99" s="83">
        <v>2850</v>
      </c>
      <c r="G99" s="83">
        <v>3000</v>
      </c>
      <c r="H99" s="83">
        <v>3000</v>
      </c>
      <c r="I99" s="83">
        <v>3000</v>
      </c>
    </row>
    <row r="100" spans="2:9" s="62" customFormat="1" ht="27" customHeight="1" x14ac:dyDescent="0.2">
      <c r="B100" s="168"/>
      <c r="C100" s="76" t="s">
        <v>95</v>
      </c>
      <c r="D100" s="179"/>
      <c r="E100" s="89">
        <v>2739.9</v>
      </c>
      <c r="F100" s="90">
        <v>2739.5</v>
      </c>
      <c r="G100" s="90">
        <v>2337.17</v>
      </c>
      <c r="H100" s="90">
        <v>2337.17</v>
      </c>
      <c r="I100" s="90">
        <v>2337.17</v>
      </c>
    </row>
    <row r="101" spans="2:9" s="62" customFormat="1" ht="36.75" customHeight="1" x14ac:dyDescent="0.2">
      <c r="B101" s="167" t="s">
        <v>31</v>
      </c>
      <c r="C101" s="76" t="s">
        <v>61</v>
      </c>
      <c r="D101" s="190" t="s">
        <v>200</v>
      </c>
      <c r="E101" s="82">
        <v>250</v>
      </c>
      <c r="F101" s="83">
        <v>250</v>
      </c>
      <c r="G101" s="83">
        <v>250</v>
      </c>
      <c r="H101" s="83">
        <v>250</v>
      </c>
      <c r="I101" s="83">
        <v>250</v>
      </c>
    </row>
    <row r="102" spans="2:9" s="62" customFormat="1" ht="36.75" customHeight="1" x14ac:dyDescent="0.2">
      <c r="B102" s="168"/>
      <c r="C102" s="76" t="s">
        <v>95</v>
      </c>
      <c r="D102" s="179"/>
      <c r="E102" s="84">
        <v>4438.67</v>
      </c>
      <c r="F102" s="85">
        <v>4438.1000000000004</v>
      </c>
      <c r="G102" s="85">
        <v>4890.7299999999996</v>
      </c>
      <c r="H102" s="85">
        <v>4890.7299999999996</v>
      </c>
      <c r="I102" s="85">
        <v>4890.7299999999996</v>
      </c>
    </row>
    <row r="103" spans="2:9" s="62" customFormat="1" ht="36.75" customHeight="1" x14ac:dyDescent="0.2">
      <c r="B103" s="167" t="s">
        <v>32</v>
      </c>
      <c r="C103" s="76" t="s">
        <v>61</v>
      </c>
      <c r="D103" s="190" t="s">
        <v>200</v>
      </c>
      <c r="E103" s="91">
        <v>2100</v>
      </c>
      <c r="F103" s="83">
        <v>2100</v>
      </c>
      <c r="G103" s="83">
        <v>2200</v>
      </c>
      <c r="H103" s="83">
        <v>2200</v>
      </c>
      <c r="I103" s="83">
        <v>2200</v>
      </c>
    </row>
    <row r="104" spans="2:9" s="62" customFormat="1" ht="36.75" customHeight="1" x14ac:dyDescent="0.2">
      <c r="B104" s="168"/>
      <c r="C104" s="76" t="s">
        <v>95</v>
      </c>
      <c r="D104" s="179"/>
      <c r="E104" s="87">
        <v>33599.89</v>
      </c>
      <c r="F104" s="88">
        <v>33599.89</v>
      </c>
      <c r="G104" s="88">
        <v>41665.379999999997</v>
      </c>
      <c r="H104" s="88">
        <v>41665.379999999997</v>
      </c>
      <c r="I104" s="88">
        <v>41665.379999999997</v>
      </c>
    </row>
    <row r="105" spans="2:9" s="62" customFormat="1" ht="36.75" customHeight="1" x14ac:dyDescent="0.2">
      <c r="B105" s="201" t="s">
        <v>33</v>
      </c>
      <c r="C105" s="5" t="s">
        <v>41</v>
      </c>
      <c r="D105" s="190" t="s">
        <v>200</v>
      </c>
      <c r="E105" s="92">
        <v>105972</v>
      </c>
      <c r="F105" s="93">
        <v>109151</v>
      </c>
      <c r="G105" s="93">
        <v>110149</v>
      </c>
      <c r="H105" s="94">
        <v>110149</v>
      </c>
      <c r="I105" s="94">
        <v>110149</v>
      </c>
    </row>
    <row r="106" spans="2:9" s="62" customFormat="1" ht="36.75" customHeight="1" x14ac:dyDescent="0.2">
      <c r="B106" s="202"/>
      <c r="C106" s="5" t="s">
        <v>95</v>
      </c>
      <c r="D106" s="179"/>
      <c r="E106" s="92">
        <v>57071.967000000004</v>
      </c>
      <c r="F106" s="95">
        <v>56694.261999999988</v>
      </c>
      <c r="G106" s="95">
        <v>52282.222849999998</v>
      </c>
      <c r="H106" s="95">
        <v>52282.222849999998</v>
      </c>
      <c r="I106" s="95">
        <v>52282.222849999998</v>
      </c>
    </row>
    <row r="107" spans="2:9" s="62" customFormat="1" ht="36.75" customHeight="1" x14ac:dyDescent="0.2">
      <c r="B107" s="201" t="s">
        <v>34</v>
      </c>
      <c r="C107" s="5" t="s">
        <v>41</v>
      </c>
      <c r="D107" s="190" t="s">
        <v>200</v>
      </c>
      <c r="E107" s="92">
        <v>60645</v>
      </c>
      <c r="F107" s="93">
        <v>61251</v>
      </c>
      <c r="G107" s="93">
        <v>105040</v>
      </c>
      <c r="H107" s="94">
        <v>105040</v>
      </c>
      <c r="I107" s="94">
        <v>105040</v>
      </c>
    </row>
    <row r="108" spans="2:9" s="62" customFormat="1" ht="36.75" customHeight="1" x14ac:dyDescent="0.2">
      <c r="B108" s="202"/>
      <c r="C108" s="5" t="s">
        <v>95</v>
      </c>
      <c r="D108" s="179"/>
      <c r="E108" s="96">
        <v>12796.094999999999</v>
      </c>
      <c r="F108" s="97">
        <v>12923.96</v>
      </c>
      <c r="G108" s="97">
        <v>16858.919999999998</v>
      </c>
      <c r="H108" s="97">
        <v>16858.919999999998</v>
      </c>
      <c r="I108" s="97">
        <v>16858.919999999998</v>
      </c>
    </row>
    <row r="109" spans="2:9" s="62" customFormat="1" ht="36.75" customHeight="1" x14ac:dyDescent="0.2">
      <c r="B109" s="201" t="s">
        <v>35</v>
      </c>
      <c r="C109" s="5" t="s">
        <v>41</v>
      </c>
      <c r="D109" s="190" t="s">
        <v>200</v>
      </c>
      <c r="E109" s="92">
        <v>11733</v>
      </c>
      <c r="F109" s="93">
        <v>12906</v>
      </c>
      <c r="G109" s="93">
        <v>11562</v>
      </c>
      <c r="H109" s="94">
        <v>11562</v>
      </c>
      <c r="I109" s="94">
        <v>11562</v>
      </c>
    </row>
    <row r="110" spans="2:9" s="62" customFormat="1" ht="36.75" customHeight="1" x14ac:dyDescent="0.2">
      <c r="B110" s="202"/>
      <c r="C110" s="5" t="s">
        <v>95</v>
      </c>
      <c r="D110" s="179"/>
      <c r="E110" s="92">
        <v>2499.13</v>
      </c>
      <c r="F110" s="95">
        <v>2748.97</v>
      </c>
      <c r="G110" s="95">
        <v>2828.0650000000001</v>
      </c>
      <c r="H110" s="95">
        <v>2828.0650000000001</v>
      </c>
      <c r="I110" s="95">
        <v>2828.0650000000001</v>
      </c>
    </row>
    <row r="111" spans="2:9" s="62" customFormat="1" ht="27" customHeight="1" x14ac:dyDescent="0.2">
      <c r="B111" s="167" t="s">
        <v>36</v>
      </c>
      <c r="C111" s="76" t="s">
        <v>61</v>
      </c>
      <c r="D111" s="190" t="s">
        <v>200</v>
      </c>
      <c r="E111" s="98">
        <v>4080</v>
      </c>
      <c r="F111" s="99">
        <v>4080</v>
      </c>
      <c r="G111" s="99">
        <v>4121</v>
      </c>
      <c r="H111" s="78">
        <v>4162</v>
      </c>
      <c r="I111" s="78">
        <v>4204</v>
      </c>
    </row>
    <row r="112" spans="2:9" s="62" customFormat="1" ht="17.25" customHeight="1" x14ac:dyDescent="0.2">
      <c r="B112" s="168"/>
      <c r="C112" s="76" t="s">
        <v>95</v>
      </c>
      <c r="D112" s="179"/>
      <c r="E112" s="98">
        <v>10048.4</v>
      </c>
      <c r="F112" s="99">
        <v>10048.4</v>
      </c>
      <c r="G112" s="99">
        <v>12330.9</v>
      </c>
      <c r="H112" s="99">
        <v>12330.9</v>
      </c>
      <c r="I112" s="99">
        <v>12330.9</v>
      </c>
    </row>
    <row r="113" spans="2:9" s="62" customFormat="1" ht="26.25" customHeight="1" x14ac:dyDescent="0.2">
      <c r="B113" s="167" t="s">
        <v>37</v>
      </c>
      <c r="C113" s="76" t="s">
        <v>61</v>
      </c>
      <c r="D113" s="190" t="s">
        <v>200</v>
      </c>
      <c r="E113" s="77">
        <v>2550</v>
      </c>
      <c r="F113" s="78">
        <v>2550</v>
      </c>
      <c r="G113" s="78">
        <v>4476.3999999999996</v>
      </c>
      <c r="H113" s="78">
        <v>4476.3999999999996</v>
      </c>
      <c r="I113" s="78">
        <v>4476.3999999999996</v>
      </c>
    </row>
    <row r="114" spans="2:9" s="62" customFormat="1" ht="26.25" customHeight="1" x14ac:dyDescent="0.2">
      <c r="B114" s="168"/>
      <c r="C114" s="76" t="s">
        <v>95</v>
      </c>
      <c r="D114" s="179"/>
      <c r="E114" s="77">
        <v>3709.9</v>
      </c>
      <c r="F114" s="78">
        <v>3709.9</v>
      </c>
      <c r="G114" s="78">
        <v>18831</v>
      </c>
      <c r="H114" s="78">
        <v>18831</v>
      </c>
      <c r="I114" s="78">
        <v>18831</v>
      </c>
    </row>
    <row r="115" spans="2:9" s="62" customFormat="1" ht="21.75" customHeight="1" x14ac:dyDescent="0.2">
      <c r="B115" s="167" t="s">
        <v>38</v>
      </c>
      <c r="C115" s="76" t="s">
        <v>61</v>
      </c>
      <c r="D115" s="190" t="s">
        <v>200</v>
      </c>
      <c r="E115" s="77">
        <v>17655</v>
      </c>
      <c r="F115" s="78">
        <v>17655</v>
      </c>
      <c r="G115" s="78">
        <v>18831</v>
      </c>
      <c r="H115" s="78">
        <v>19905</v>
      </c>
      <c r="I115" s="78">
        <v>21078</v>
      </c>
    </row>
    <row r="116" spans="2:9" s="62" customFormat="1" ht="21" customHeight="1" x14ac:dyDescent="0.2">
      <c r="B116" s="168"/>
      <c r="C116" s="76" t="s">
        <v>95</v>
      </c>
      <c r="D116" s="179"/>
      <c r="E116" s="77">
        <v>26599.9</v>
      </c>
      <c r="F116" s="78">
        <v>26599.9</v>
      </c>
      <c r="G116" s="78">
        <v>30934.7</v>
      </c>
      <c r="H116" s="78">
        <v>30934.7</v>
      </c>
      <c r="I116" s="78">
        <v>30934.7</v>
      </c>
    </row>
    <row r="117" spans="2:9" s="62" customFormat="1" ht="25.5" customHeight="1" x14ac:dyDescent="0.2">
      <c r="B117" s="167" t="s">
        <v>39</v>
      </c>
      <c r="C117" s="76" t="s">
        <v>61</v>
      </c>
      <c r="D117" s="190" t="s">
        <v>200</v>
      </c>
      <c r="E117" s="77">
        <v>5815</v>
      </c>
      <c r="F117" s="78">
        <v>5815</v>
      </c>
      <c r="G117" s="78">
        <v>5873</v>
      </c>
      <c r="H117" s="78">
        <v>5932</v>
      </c>
      <c r="I117" s="78">
        <v>5991</v>
      </c>
    </row>
    <row r="118" spans="2:9" s="62" customFormat="1" ht="21.75" customHeight="1" x14ac:dyDescent="0.2">
      <c r="B118" s="168"/>
      <c r="C118" s="76" t="s">
        <v>95</v>
      </c>
      <c r="D118" s="179"/>
      <c r="E118" s="77">
        <v>4159.6000000000004</v>
      </c>
      <c r="F118" s="78">
        <v>4159.6000000000004</v>
      </c>
      <c r="G118" s="78">
        <v>4913.1000000000004</v>
      </c>
      <c r="H118" s="78">
        <v>4913.1000000000004</v>
      </c>
      <c r="I118" s="78">
        <v>4913.1000000000004</v>
      </c>
    </row>
    <row r="119" spans="2:9" s="17" customFormat="1" ht="14.25" customHeight="1" x14ac:dyDescent="0.2">
      <c r="B119" s="6" t="s">
        <v>6</v>
      </c>
      <c r="C119" s="4"/>
      <c r="D119" s="4"/>
      <c r="E119" s="7"/>
      <c r="F119" s="7"/>
      <c r="G119" s="7"/>
      <c r="H119" s="7"/>
      <c r="I119" s="7"/>
    </row>
    <row r="120" spans="2:9" s="62" customFormat="1" ht="26.25" customHeight="1" x14ac:dyDescent="0.2">
      <c r="B120" s="203" t="s">
        <v>103</v>
      </c>
      <c r="C120" s="100" t="s">
        <v>10</v>
      </c>
      <c r="D120" s="190" t="s">
        <v>200</v>
      </c>
      <c r="E120" s="101">
        <v>616</v>
      </c>
      <c r="F120" s="83">
        <v>616</v>
      </c>
      <c r="G120" s="102">
        <v>616</v>
      </c>
      <c r="H120" s="102">
        <v>628</v>
      </c>
      <c r="I120" s="102">
        <v>628</v>
      </c>
    </row>
    <row r="121" spans="2:9" s="62" customFormat="1" ht="33" customHeight="1" x14ac:dyDescent="0.2">
      <c r="B121" s="204"/>
      <c r="C121" s="103" t="s">
        <v>95</v>
      </c>
      <c r="D121" s="179"/>
      <c r="E121" s="104">
        <v>37061</v>
      </c>
      <c r="F121" s="83">
        <v>37061</v>
      </c>
      <c r="G121" s="102">
        <v>31943.9</v>
      </c>
      <c r="H121" s="102">
        <v>32770.1</v>
      </c>
      <c r="I121" s="102">
        <v>32770.1</v>
      </c>
    </row>
    <row r="122" spans="2:9" s="62" customFormat="1" ht="32.25" customHeight="1" x14ac:dyDescent="0.2">
      <c r="B122" s="203" t="s">
        <v>104</v>
      </c>
      <c r="C122" s="103" t="s">
        <v>105</v>
      </c>
      <c r="D122" s="190" t="s">
        <v>200</v>
      </c>
      <c r="E122" s="82">
        <v>700</v>
      </c>
      <c r="F122" s="83">
        <v>700</v>
      </c>
      <c r="G122" s="102">
        <v>700</v>
      </c>
      <c r="H122" s="102">
        <v>700</v>
      </c>
      <c r="I122" s="102">
        <v>700</v>
      </c>
    </row>
    <row r="123" spans="2:9" s="62" customFormat="1" ht="25.5" customHeight="1" x14ac:dyDescent="0.2">
      <c r="B123" s="204"/>
      <c r="C123" s="103" t="s">
        <v>95</v>
      </c>
      <c r="D123" s="179"/>
      <c r="E123" s="82">
        <v>5392.9</v>
      </c>
      <c r="F123" s="83">
        <v>5392.9</v>
      </c>
      <c r="G123" s="105">
        <v>3152.4</v>
      </c>
      <c r="H123" s="105">
        <v>3152.4</v>
      </c>
      <c r="I123" s="105">
        <v>3152.4</v>
      </c>
    </row>
    <row r="124" spans="2:9" s="62" customFormat="1" ht="20.25" customHeight="1" x14ac:dyDescent="0.2">
      <c r="B124" s="203" t="s">
        <v>42</v>
      </c>
      <c r="C124" s="100" t="s">
        <v>41</v>
      </c>
      <c r="D124" s="190" t="s">
        <v>200</v>
      </c>
      <c r="E124" s="82">
        <v>700</v>
      </c>
      <c r="F124" s="83">
        <v>700</v>
      </c>
      <c r="G124" s="83">
        <v>177000</v>
      </c>
      <c r="H124" s="83">
        <v>177000</v>
      </c>
      <c r="I124" s="83">
        <v>177000</v>
      </c>
    </row>
    <row r="125" spans="2:9" s="62" customFormat="1" ht="21.75" customHeight="1" x14ac:dyDescent="0.2">
      <c r="B125" s="204"/>
      <c r="C125" s="100" t="s">
        <v>95</v>
      </c>
      <c r="D125" s="179"/>
      <c r="E125" s="82">
        <v>5392.9</v>
      </c>
      <c r="F125" s="83">
        <v>5392.9</v>
      </c>
      <c r="G125" s="83">
        <v>31567.95</v>
      </c>
      <c r="H125" s="83">
        <v>31567.95</v>
      </c>
      <c r="I125" s="83">
        <v>31567.95</v>
      </c>
    </row>
    <row r="126" spans="2:9" s="62" customFormat="1" ht="25.5" customHeight="1" x14ac:dyDescent="0.2">
      <c r="B126" s="203" t="s">
        <v>43</v>
      </c>
      <c r="C126" s="100" t="s">
        <v>41</v>
      </c>
      <c r="D126" s="190" t="s">
        <v>200</v>
      </c>
      <c r="E126" s="82">
        <v>21214</v>
      </c>
      <c r="F126" s="83">
        <v>21214</v>
      </c>
      <c r="G126" s="83">
        <v>21638</v>
      </c>
      <c r="H126" s="83">
        <v>22071</v>
      </c>
      <c r="I126" s="83">
        <v>22512</v>
      </c>
    </row>
    <row r="127" spans="2:9" s="62" customFormat="1" ht="25.5" customHeight="1" x14ac:dyDescent="0.2">
      <c r="B127" s="204"/>
      <c r="C127" s="100" t="s">
        <v>95</v>
      </c>
      <c r="D127" s="179"/>
      <c r="E127" s="82">
        <v>17323.900000000001</v>
      </c>
      <c r="F127" s="83">
        <v>17323.900000000001</v>
      </c>
      <c r="G127" s="83">
        <v>20248.3</v>
      </c>
      <c r="H127" s="83">
        <v>20248.3</v>
      </c>
      <c r="I127" s="83">
        <v>20248.3</v>
      </c>
    </row>
    <row r="128" spans="2:9" s="62" customFormat="1" ht="21" customHeight="1" x14ac:dyDescent="0.2">
      <c r="B128" s="203" t="s">
        <v>44</v>
      </c>
      <c r="C128" s="100" t="s">
        <v>41</v>
      </c>
      <c r="D128" s="190" t="s">
        <v>200</v>
      </c>
      <c r="E128" s="82">
        <v>32</v>
      </c>
      <c r="F128" s="83">
        <v>32</v>
      </c>
      <c r="G128" s="83">
        <v>32</v>
      </c>
      <c r="H128" s="106">
        <v>32</v>
      </c>
      <c r="I128" s="106">
        <v>32</v>
      </c>
    </row>
    <row r="129" spans="1:14" s="62" customFormat="1" ht="19.5" customHeight="1" x14ac:dyDescent="0.2">
      <c r="B129" s="204"/>
      <c r="C129" s="100" t="s">
        <v>95</v>
      </c>
      <c r="D129" s="179"/>
      <c r="E129" s="82">
        <v>9509.2999999999993</v>
      </c>
      <c r="F129" s="83">
        <v>9509.2999999999993</v>
      </c>
      <c r="G129" s="83">
        <v>9750.7000000000007</v>
      </c>
      <c r="H129" s="83">
        <v>9750.7000000000007</v>
      </c>
      <c r="I129" s="83">
        <v>9750.7000000000007</v>
      </c>
    </row>
    <row r="130" spans="1:14" s="15" customFormat="1" ht="36.75" customHeight="1" x14ac:dyDescent="0.2">
      <c r="A130" s="62"/>
      <c r="B130" s="143" t="s">
        <v>2</v>
      </c>
      <c r="C130" s="144"/>
      <c r="D130" s="144"/>
      <c r="E130" s="144"/>
      <c r="F130" s="144"/>
      <c r="G130" s="144"/>
      <c r="H130" s="144"/>
      <c r="I130" s="145"/>
      <c r="J130" s="31"/>
      <c r="K130" s="32"/>
      <c r="L130" s="33"/>
    </row>
    <row r="131" spans="1:14" s="17" customFormat="1" ht="21.75" customHeight="1" x14ac:dyDescent="0.2">
      <c r="B131" s="6" t="s">
        <v>7</v>
      </c>
      <c r="C131" s="8"/>
      <c r="D131" s="8"/>
      <c r="E131" s="23"/>
      <c r="F131" s="18"/>
      <c r="G131" s="30"/>
      <c r="H131" s="19"/>
      <c r="I131" s="19"/>
      <c r="J131" s="34"/>
      <c r="K131" s="34"/>
      <c r="L131" s="34"/>
    </row>
    <row r="132" spans="1:14" s="16" customFormat="1" ht="27" customHeight="1" x14ac:dyDescent="0.25">
      <c r="B132" s="205" t="s">
        <v>122</v>
      </c>
      <c r="C132" s="110" t="s">
        <v>123</v>
      </c>
      <c r="D132" s="150" t="s">
        <v>184</v>
      </c>
      <c r="E132" s="115">
        <v>39</v>
      </c>
      <c r="F132" s="74">
        <v>39</v>
      </c>
      <c r="G132" s="74">
        <v>37</v>
      </c>
      <c r="H132" s="74">
        <v>37</v>
      </c>
      <c r="I132" s="74">
        <v>37</v>
      </c>
      <c r="J132" s="37" t="e">
        <f>#REF!-#REF!</f>
        <v>#REF!</v>
      </c>
      <c r="K132" s="37" t="e">
        <f>#REF!-#REF!</f>
        <v>#REF!</v>
      </c>
      <c r="L132" s="37" t="e">
        <f>#REF!-#REF!</f>
        <v>#REF!</v>
      </c>
      <c r="M132" s="37" t="e">
        <f>#REF!-#REF!</f>
        <v>#REF!</v>
      </c>
      <c r="N132" s="37" t="e">
        <f>#REF!-#REF!</f>
        <v>#REF!</v>
      </c>
    </row>
    <row r="133" spans="1:14" s="16" customFormat="1" ht="29.25" customHeight="1" x14ac:dyDescent="0.25">
      <c r="B133" s="205"/>
      <c r="C133" s="110" t="s">
        <v>95</v>
      </c>
      <c r="D133" s="150"/>
      <c r="E133" s="3">
        <v>8038.4</v>
      </c>
      <c r="F133" s="70">
        <v>3445.5</v>
      </c>
      <c r="G133" s="118">
        <v>5966.99</v>
      </c>
      <c r="H133" s="118">
        <v>5966.99</v>
      </c>
      <c r="I133" s="118">
        <v>5966.99</v>
      </c>
      <c r="J133" s="35"/>
      <c r="K133" s="14"/>
      <c r="L133" s="36"/>
      <c r="M133" s="20"/>
    </row>
    <row r="134" spans="1:14" s="16" customFormat="1" ht="20.25" customHeight="1" x14ac:dyDescent="0.25">
      <c r="B134" s="205" t="s">
        <v>124</v>
      </c>
      <c r="C134" s="110" t="s">
        <v>123</v>
      </c>
      <c r="D134" s="150" t="s">
        <v>184</v>
      </c>
      <c r="E134" s="115">
        <v>25</v>
      </c>
      <c r="F134" s="74">
        <v>25</v>
      </c>
      <c r="G134" s="74">
        <v>28</v>
      </c>
      <c r="H134" s="74">
        <v>28</v>
      </c>
      <c r="I134" s="74">
        <v>28</v>
      </c>
      <c r="J134" s="35"/>
      <c r="K134" s="14"/>
      <c r="L134" s="36"/>
      <c r="M134" s="20"/>
    </row>
    <row r="135" spans="1:14" s="16" customFormat="1" ht="33" customHeight="1" x14ac:dyDescent="0.25">
      <c r="B135" s="205"/>
      <c r="C135" s="110" t="s">
        <v>95</v>
      </c>
      <c r="D135" s="150"/>
      <c r="E135" s="3">
        <v>5152.8</v>
      </c>
      <c r="F135" s="70">
        <v>7321.7</v>
      </c>
      <c r="G135" s="118">
        <v>4802.84</v>
      </c>
      <c r="H135" s="118">
        <v>4802.84</v>
      </c>
      <c r="I135" s="118">
        <v>4802.84</v>
      </c>
      <c r="J135" s="35"/>
      <c r="K135" s="14"/>
      <c r="L135" s="36"/>
      <c r="M135" s="20"/>
    </row>
    <row r="136" spans="1:14" s="16" customFormat="1" ht="21" customHeight="1" x14ac:dyDescent="0.25">
      <c r="B136" s="205" t="s">
        <v>125</v>
      </c>
      <c r="C136" s="110" t="s">
        <v>123</v>
      </c>
      <c r="D136" s="150" t="s">
        <v>184</v>
      </c>
      <c r="E136" s="115">
        <v>33</v>
      </c>
      <c r="F136" s="74">
        <v>36</v>
      </c>
      <c r="G136" s="74">
        <v>40</v>
      </c>
      <c r="H136" s="74">
        <v>40</v>
      </c>
      <c r="I136" s="74">
        <v>40</v>
      </c>
      <c r="J136" s="35"/>
      <c r="K136" s="14"/>
      <c r="L136" s="36"/>
      <c r="M136" s="20"/>
    </row>
    <row r="137" spans="1:14" s="16" customFormat="1" ht="36" customHeight="1" x14ac:dyDescent="0.25">
      <c r="B137" s="205"/>
      <c r="C137" s="110" t="s">
        <v>95</v>
      </c>
      <c r="D137" s="150"/>
      <c r="E137" s="3">
        <f>6801.8+32.8</f>
        <v>6834.6</v>
      </c>
      <c r="F137" s="70">
        <v>7752.5</v>
      </c>
      <c r="G137" s="118">
        <v>4511.6000000000004</v>
      </c>
      <c r="H137" s="118">
        <v>4511.6000000000004</v>
      </c>
      <c r="I137" s="118">
        <v>4511.6000000000004</v>
      </c>
      <c r="J137" s="35"/>
      <c r="K137" s="14"/>
      <c r="L137" s="36"/>
      <c r="M137" s="20"/>
    </row>
    <row r="138" spans="1:14" s="16" customFormat="1" ht="18.75" customHeight="1" x14ac:dyDescent="0.25">
      <c r="B138" s="205" t="s">
        <v>126</v>
      </c>
      <c r="C138" s="110" t="s">
        <v>123</v>
      </c>
      <c r="D138" s="150" t="s">
        <v>184</v>
      </c>
      <c r="E138" s="115">
        <v>0</v>
      </c>
      <c r="F138" s="74">
        <v>10</v>
      </c>
      <c r="G138" s="119">
        <v>9</v>
      </c>
      <c r="H138" s="119">
        <v>9</v>
      </c>
      <c r="I138" s="119">
        <v>9</v>
      </c>
      <c r="J138" s="35"/>
      <c r="K138" s="14"/>
      <c r="L138" s="36"/>
      <c r="M138" s="20"/>
    </row>
    <row r="139" spans="1:14" s="16" customFormat="1" ht="34.5" customHeight="1" x14ac:dyDescent="0.25">
      <c r="B139" s="205"/>
      <c r="C139" s="110" t="s">
        <v>95</v>
      </c>
      <c r="D139" s="150"/>
      <c r="E139" s="3">
        <v>0</v>
      </c>
      <c r="F139" s="70">
        <v>2153.5</v>
      </c>
      <c r="G139" s="118">
        <f>1.8+2474.19</f>
        <v>2475.9900000000002</v>
      </c>
      <c r="H139" s="118">
        <f>1.8+2474.19</f>
        <v>2475.9900000000002</v>
      </c>
      <c r="I139" s="118">
        <f>1.8+2474.19</f>
        <v>2475.9900000000002</v>
      </c>
      <c r="J139" s="35"/>
      <c r="K139" s="14"/>
      <c r="L139" s="36"/>
      <c r="M139" s="20"/>
    </row>
    <row r="140" spans="1:14" s="16" customFormat="1" ht="29.25" customHeight="1" x14ac:dyDescent="0.25">
      <c r="B140" s="205" t="s">
        <v>127</v>
      </c>
      <c r="C140" s="110" t="s">
        <v>123</v>
      </c>
      <c r="D140" s="150" t="s">
        <v>184</v>
      </c>
      <c r="E140" s="115">
        <v>24</v>
      </c>
      <c r="F140" s="74">
        <v>25</v>
      </c>
      <c r="G140" s="119">
        <v>22</v>
      </c>
      <c r="H140" s="119">
        <v>22</v>
      </c>
      <c r="I140" s="119">
        <v>22</v>
      </c>
      <c r="J140" s="35"/>
      <c r="K140" s="14"/>
      <c r="L140" s="36"/>
      <c r="M140" s="20"/>
    </row>
    <row r="141" spans="1:14" s="16" customFormat="1" ht="26.25" customHeight="1" x14ac:dyDescent="0.25">
      <c r="B141" s="205"/>
      <c r="C141" s="110" t="s">
        <v>95</v>
      </c>
      <c r="D141" s="150"/>
      <c r="E141" s="3">
        <v>0</v>
      </c>
      <c r="F141" s="70">
        <v>4737.6000000000004</v>
      </c>
      <c r="G141" s="118">
        <v>3347.3</v>
      </c>
      <c r="H141" s="118">
        <v>3347.3</v>
      </c>
      <c r="I141" s="118">
        <v>3347.3</v>
      </c>
      <c r="J141" s="35"/>
      <c r="K141" s="14"/>
      <c r="L141" s="36"/>
      <c r="M141" s="20"/>
    </row>
    <row r="142" spans="1:14" s="16" customFormat="1" ht="27.75" customHeight="1" x14ac:dyDescent="0.25">
      <c r="B142" s="205" t="s">
        <v>128</v>
      </c>
      <c r="C142" s="110" t="s">
        <v>123</v>
      </c>
      <c r="D142" s="150" t="s">
        <v>184</v>
      </c>
      <c r="E142" s="115">
        <v>0</v>
      </c>
      <c r="F142" s="74">
        <v>26</v>
      </c>
      <c r="G142" s="119">
        <v>26</v>
      </c>
      <c r="H142" s="119">
        <v>26</v>
      </c>
      <c r="I142" s="119">
        <v>26</v>
      </c>
      <c r="J142" s="35"/>
      <c r="K142" s="14"/>
      <c r="L142" s="36"/>
      <c r="M142" s="20"/>
    </row>
    <row r="143" spans="1:14" s="16" customFormat="1" ht="31.5" customHeight="1" x14ac:dyDescent="0.25">
      <c r="B143" s="205"/>
      <c r="C143" s="110" t="s">
        <v>95</v>
      </c>
      <c r="D143" s="150"/>
      <c r="E143" s="3">
        <v>0</v>
      </c>
      <c r="F143" s="70">
        <v>5599</v>
      </c>
      <c r="G143" s="118">
        <v>2037.62</v>
      </c>
      <c r="H143" s="118">
        <v>2037.62</v>
      </c>
      <c r="I143" s="118">
        <v>2037.62</v>
      </c>
      <c r="J143" s="35"/>
      <c r="K143" s="14"/>
      <c r="L143" s="36"/>
      <c r="M143" s="20"/>
    </row>
    <row r="144" spans="1:14" s="16" customFormat="1" ht="25.5" customHeight="1" x14ac:dyDescent="0.25">
      <c r="B144" s="151" t="s">
        <v>129</v>
      </c>
      <c r="C144" s="110" t="s">
        <v>123</v>
      </c>
      <c r="D144" s="150" t="s">
        <v>184</v>
      </c>
      <c r="E144" s="74">
        <v>16</v>
      </c>
      <c r="F144" s="120">
        <v>16</v>
      </c>
      <c r="G144" s="120">
        <v>10</v>
      </c>
      <c r="H144" s="120">
        <v>10</v>
      </c>
      <c r="I144" s="120">
        <v>10</v>
      </c>
      <c r="J144" s="35"/>
      <c r="K144" s="14"/>
      <c r="L144" s="36"/>
      <c r="M144" s="20"/>
    </row>
    <row r="145" spans="2:13" s="16" customFormat="1" ht="29.25" customHeight="1" x14ac:dyDescent="0.25">
      <c r="B145" s="151"/>
      <c r="C145" s="110" t="s">
        <v>95</v>
      </c>
      <c r="D145" s="150"/>
      <c r="E145" s="70">
        <v>3710</v>
      </c>
      <c r="F145" s="117">
        <v>1076.7</v>
      </c>
      <c r="G145" s="117">
        <v>1892</v>
      </c>
      <c r="H145" s="117">
        <v>1892</v>
      </c>
      <c r="I145" s="117">
        <v>1892</v>
      </c>
      <c r="J145" s="35"/>
      <c r="K145" s="14"/>
      <c r="L145" s="36"/>
      <c r="M145" s="20"/>
    </row>
    <row r="146" spans="2:13" s="16" customFormat="1" ht="25.5" customHeight="1" x14ac:dyDescent="0.25">
      <c r="B146" s="151" t="s">
        <v>130</v>
      </c>
      <c r="C146" s="110" t="s">
        <v>123</v>
      </c>
      <c r="D146" s="150" t="s">
        <v>184</v>
      </c>
      <c r="E146" s="74">
        <v>9</v>
      </c>
      <c r="F146" s="120">
        <v>9</v>
      </c>
      <c r="G146" s="120">
        <v>8</v>
      </c>
      <c r="H146" s="120">
        <v>8</v>
      </c>
      <c r="I146" s="120">
        <v>8</v>
      </c>
      <c r="J146" s="35"/>
      <c r="K146" s="14"/>
      <c r="L146" s="36"/>
      <c r="M146" s="20"/>
    </row>
    <row r="147" spans="2:13" s="16" customFormat="1" ht="28.5" customHeight="1" x14ac:dyDescent="0.25">
      <c r="B147" s="151"/>
      <c r="C147" s="110" t="s">
        <v>95</v>
      </c>
      <c r="D147" s="150"/>
      <c r="E147" s="70">
        <v>1855</v>
      </c>
      <c r="F147" s="117">
        <v>1722.7</v>
      </c>
      <c r="G147" s="117">
        <v>1892</v>
      </c>
      <c r="H147" s="117">
        <v>1892</v>
      </c>
      <c r="I147" s="117">
        <v>1892</v>
      </c>
      <c r="J147" s="35"/>
      <c r="K147" s="14"/>
      <c r="L147" s="36"/>
      <c r="M147" s="20"/>
    </row>
    <row r="148" spans="2:13" s="16" customFormat="1" ht="27.75" customHeight="1" x14ac:dyDescent="0.25">
      <c r="B148" s="149" t="s">
        <v>131</v>
      </c>
      <c r="C148" s="110" t="s">
        <v>123</v>
      </c>
      <c r="D148" s="150" t="s">
        <v>184</v>
      </c>
      <c r="E148" s="74">
        <v>19</v>
      </c>
      <c r="F148" s="74">
        <v>35</v>
      </c>
      <c r="G148" s="74">
        <v>30</v>
      </c>
      <c r="H148" s="74">
        <v>30</v>
      </c>
      <c r="I148" s="74">
        <v>30</v>
      </c>
      <c r="J148" s="35"/>
      <c r="K148" s="14"/>
      <c r="L148" s="36"/>
      <c r="M148" s="20"/>
    </row>
    <row r="149" spans="2:13" s="16" customFormat="1" ht="14.25" customHeight="1" x14ac:dyDescent="0.25">
      <c r="B149" s="149"/>
      <c r="C149" s="110" t="s">
        <v>95</v>
      </c>
      <c r="D149" s="150"/>
      <c r="E149" s="70">
        <v>3916.2</v>
      </c>
      <c r="F149" s="117">
        <v>6245</v>
      </c>
      <c r="G149" s="117">
        <v>5157.3</v>
      </c>
      <c r="H149" s="117">
        <v>5157.3</v>
      </c>
      <c r="I149" s="117">
        <v>5157.3</v>
      </c>
      <c r="J149" s="35"/>
      <c r="K149" s="14"/>
      <c r="L149" s="36"/>
      <c r="M149" s="20"/>
    </row>
    <row r="150" spans="2:13" s="16" customFormat="1" ht="30" customHeight="1" x14ac:dyDescent="0.25">
      <c r="B150" s="149" t="s">
        <v>132</v>
      </c>
      <c r="C150" s="110" t="s">
        <v>123</v>
      </c>
      <c r="D150" s="150" t="s">
        <v>184</v>
      </c>
      <c r="E150" s="74">
        <v>21</v>
      </c>
      <c r="F150" s="74">
        <v>21</v>
      </c>
      <c r="G150" s="74">
        <v>21</v>
      </c>
      <c r="H150" s="74">
        <v>21</v>
      </c>
      <c r="I150" s="74">
        <v>21</v>
      </c>
      <c r="J150" s="35"/>
      <c r="K150" s="14"/>
      <c r="L150" s="36"/>
      <c r="M150" s="20"/>
    </row>
    <row r="151" spans="2:13" s="16" customFormat="1" ht="26.25" customHeight="1" x14ac:dyDescent="0.25">
      <c r="B151" s="149"/>
      <c r="C151" s="110" t="s">
        <v>95</v>
      </c>
      <c r="D151" s="150"/>
      <c r="E151" s="70">
        <v>4328.3999999999996</v>
      </c>
      <c r="F151" s="117">
        <v>4522.3</v>
      </c>
      <c r="G151" s="117">
        <v>5821.62</v>
      </c>
      <c r="H151" s="117">
        <v>5821.62</v>
      </c>
      <c r="I151" s="117">
        <v>5821.62</v>
      </c>
      <c r="J151" s="35"/>
      <c r="K151" s="14"/>
      <c r="L151" s="36"/>
      <c r="M151" s="20"/>
    </row>
    <row r="152" spans="2:13" s="16" customFormat="1" ht="38.25" customHeight="1" x14ac:dyDescent="0.25">
      <c r="B152" s="151" t="s">
        <v>133</v>
      </c>
      <c r="C152" s="110" t="s">
        <v>123</v>
      </c>
      <c r="D152" s="150" t="s">
        <v>184</v>
      </c>
      <c r="E152" s="74">
        <v>78</v>
      </c>
      <c r="F152" s="74">
        <v>62</v>
      </c>
      <c r="G152" s="74">
        <v>55</v>
      </c>
      <c r="H152" s="74">
        <v>55</v>
      </c>
      <c r="I152" s="74">
        <v>55</v>
      </c>
      <c r="J152" s="35"/>
      <c r="K152" s="14"/>
      <c r="L152" s="36"/>
      <c r="M152" s="20"/>
    </row>
    <row r="153" spans="2:13" s="16" customFormat="1" ht="15.75" x14ac:dyDescent="0.25">
      <c r="B153" s="151"/>
      <c r="C153" s="110" t="s">
        <v>95</v>
      </c>
      <c r="D153" s="150"/>
      <c r="E153" s="70">
        <v>16076.9</v>
      </c>
      <c r="F153" s="117">
        <v>10551.9</v>
      </c>
      <c r="G153" s="117">
        <v>12079.65</v>
      </c>
      <c r="H153" s="117">
        <v>12079.65</v>
      </c>
      <c r="I153" s="117">
        <v>12079.65</v>
      </c>
      <c r="J153" s="35"/>
      <c r="K153" s="14"/>
      <c r="L153" s="36"/>
      <c r="M153" s="20"/>
    </row>
    <row r="154" spans="2:13" s="16" customFormat="1" ht="33.75" customHeight="1" x14ac:dyDescent="0.25">
      <c r="B154" s="149" t="s">
        <v>134</v>
      </c>
      <c r="C154" s="110" t="s">
        <v>123</v>
      </c>
      <c r="D154" s="150" t="s">
        <v>184</v>
      </c>
      <c r="E154" s="74">
        <v>73</v>
      </c>
      <c r="F154" s="74">
        <v>53</v>
      </c>
      <c r="G154" s="74">
        <v>60</v>
      </c>
      <c r="H154" s="74">
        <v>60</v>
      </c>
      <c r="I154" s="74">
        <v>60</v>
      </c>
      <c r="J154" s="35"/>
      <c r="K154" s="14"/>
      <c r="L154" s="36"/>
      <c r="M154" s="20"/>
    </row>
    <row r="155" spans="2:13" s="16" customFormat="1" ht="15.75" x14ac:dyDescent="0.25">
      <c r="B155" s="149"/>
      <c r="C155" s="110" t="s">
        <v>95</v>
      </c>
      <c r="D155" s="150"/>
      <c r="E155" s="70">
        <v>15046.4</v>
      </c>
      <c r="F155" s="117">
        <v>10121.299999999999</v>
      </c>
      <c r="G155" s="117">
        <v>14990.4</v>
      </c>
      <c r="H155" s="117">
        <v>14990.4</v>
      </c>
      <c r="I155" s="117">
        <v>14990.4</v>
      </c>
      <c r="J155" s="35"/>
      <c r="K155" s="14"/>
      <c r="L155" s="36"/>
      <c r="M155" s="20"/>
    </row>
    <row r="156" spans="2:13" s="16" customFormat="1" ht="33.75" customHeight="1" x14ac:dyDescent="0.25">
      <c r="B156" s="149" t="s">
        <v>135</v>
      </c>
      <c r="C156" s="110" t="s">
        <v>123</v>
      </c>
      <c r="D156" s="150" t="s">
        <v>184</v>
      </c>
      <c r="E156" s="74">
        <v>2</v>
      </c>
      <c r="F156" s="74">
        <v>3</v>
      </c>
      <c r="G156" s="74">
        <v>2</v>
      </c>
      <c r="H156" s="74">
        <v>2</v>
      </c>
      <c r="I156" s="74">
        <v>2</v>
      </c>
      <c r="J156" s="35"/>
      <c r="K156" s="14"/>
      <c r="L156" s="36"/>
      <c r="M156" s="20"/>
    </row>
    <row r="157" spans="2:13" s="16" customFormat="1" ht="15.75" x14ac:dyDescent="0.25">
      <c r="B157" s="149"/>
      <c r="C157" s="110" t="s">
        <v>95</v>
      </c>
      <c r="D157" s="150"/>
      <c r="E157" s="70">
        <v>412.2</v>
      </c>
      <c r="F157" s="117">
        <v>646</v>
      </c>
      <c r="G157" s="117">
        <v>1892</v>
      </c>
      <c r="H157" s="117">
        <v>1892</v>
      </c>
      <c r="I157" s="117">
        <v>1892</v>
      </c>
      <c r="J157" s="35"/>
      <c r="K157" s="14"/>
      <c r="L157" s="36"/>
      <c r="M157" s="20"/>
    </row>
    <row r="158" spans="2:13" s="16" customFormat="1" ht="28.5" customHeight="1" x14ac:dyDescent="0.25">
      <c r="B158" s="151" t="s">
        <v>136</v>
      </c>
      <c r="C158" s="110" t="s">
        <v>123</v>
      </c>
      <c r="D158" s="150" t="s">
        <v>184</v>
      </c>
      <c r="E158" s="74">
        <v>3</v>
      </c>
      <c r="F158" s="74">
        <v>3</v>
      </c>
      <c r="G158" s="74">
        <v>3</v>
      </c>
      <c r="H158" s="74">
        <v>3</v>
      </c>
      <c r="I158" s="74">
        <v>3</v>
      </c>
      <c r="J158" s="35"/>
      <c r="K158" s="14"/>
      <c r="L158" s="36"/>
      <c r="M158" s="20"/>
    </row>
    <row r="159" spans="2:13" s="16" customFormat="1" ht="29.25" customHeight="1" x14ac:dyDescent="0.25">
      <c r="B159" s="151"/>
      <c r="C159" s="110" t="s">
        <v>95</v>
      </c>
      <c r="D159" s="150"/>
      <c r="E159" s="70">
        <v>618.29999999999995</v>
      </c>
      <c r="F159" s="70">
        <v>952.8</v>
      </c>
      <c r="G159" s="70">
        <v>2910.78</v>
      </c>
      <c r="H159" s="70">
        <v>2910.78</v>
      </c>
      <c r="I159" s="70">
        <v>2910.78</v>
      </c>
      <c r="J159" s="35"/>
      <c r="K159" s="14"/>
      <c r="L159" s="36"/>
      <c r="M159" s="20"/>
    </row>
    <row r="160" spans="2:13" s="16" customFormat="1" ht="27" customHeight="1" x14ac:dyDescent="0.25">
      <c r="B160" s="149" t="s">
        <v>137</v>
      </c>
      <c r="C160" s="110" t="s">
        <v>123</v>
      </c>
      <c r="D160" s="150" t="s">
        <v>184</v>
      </c>
      <c r="E160" s="74">
        <v>24</v>
      </c>
      <c r="F160" s="74">
        <v>6</v>
      </c>
      <c r="G160" s="74">
        <v>8</v>
      </c>
      <c r="H160" s="74">
        <v>8</v>
      </c>
      <c r="I160" s="74">
        <v>8</v>
      </c>
      <c r="J160" s="35"/>
      <c r="K160" s="14"/>
      <c r="L160" s="36"/>
      <c r="M160" s="20"/>
    </row>
    <row r="161" spans="2:13" s="16" customFormat="1" ht="31.5" customHeight="1" x14ac:dyDescent="0.25">
      <c r="B161" s="149"/>
      <c r="C161" s="110" t="s">
        <v>95</v>
      </c>
      <c r="D161" s="150"/>
      <c r="E161" s="70">
        <v>4946.7</v>
      </c>
      <c r="F161" s="117">
        <v>1292.0999999999999</v>
      </c>
      <c r="G161" s="117">
        <v>2037.52</v>
      </c>
      <c r="H161" s="117">
        <v>2037.52</v>
      </c>
      <c r="I161" s="117">
        <v>2037.52</v>
      </c>
      <c r="J161" s="35"/>
      <c r="K161" s="14"/>
      <c r="L161" s="36"/>
      <c r="M161" s="20"/>
    </row>
    <row r="162" spans="2:13" s="16" customFormat="1" ht="31.5" customHeight="1" x14ac:dyDescent="0.25">
      <c r="B162" s="149" t="s">
        <v>138</v>
      </c>
      <c r="C162" s="110" t="s">
        <v>123</v>
      </c>
      <c r="D162" s="150" t="s">
        <v>184</v>
      </c>
      <c r="E162" s="74">
        <v>15</v>
      </c>
      <c r="F162" s="74">
        <v>20</v>
      </c>
      <c r="G162" s="74">
        <v>0</v>
      </c>
      <c r="H162" s="74">
        <v>0</v>
      </c>
      <c r="I162" s="74">
        <v>0</v>
      </c>
      <c r="J162" s="35"/>
      <c r="K162" s="14"/>
      <c r="L162" s="36"/>
      <c r="M162" s="20"/>
    </row>
    <row r="163" spans="2:13" s="16" customFormat="1" ht="28.5" customHeight="1" x14ac:dyDescent="0.25">
      <c r="B163" s="149"/>
      <c r="C163" s="110" t="s">
        <v>95</v>
      </c>
      <c r="D163" s="150"/>
      <c r="E163" s="70">
        <v>3091.7</v>
      </c>
      <c r="F163" s="117">
        <v>3014.8</v>
      </c>
      <c r="G163" s="117">
        <v>0</v>
      </c>
      <c r="H163" s="117">
        <v>0</v>
      </c>
      <c r="I163" s="117">
        <v>0</v>
      </c>
      <c r="J163" s="35"/>
      <c r="K163" s="14"/>
      <c r="L163" s="36"/>
      <c r="M163" s="20"/>
    </row>
    <row r="164" spans="2:13" s="16" customFormat="1" ht="31.5" customHeight="1" x14ac:dyDescent="0.25">
      <c r="B164" s="149" t="s">
        <v>139</v>
      </c>
      <c r="C164" s="110" t="s">
        <v>123</v>
      </c>
      <c r="D164" s="150" t="s">
        <v>184</v>
      </c>
      <c r="E164" s="74">
        <v>24</v>
      </c>
      <c r="F164" s="74">
        <v>33</v>
      </c>
      <c r="G164" s="74">
        <v>46</v>
      </c>
      <c r="H164" s="74">
        <v>46</v>
      </c>
      <c r="I164" s="74">
        <v>46</v>
      </c>
      <c r="J164" s="35"/>
      <c r="K164" s="14"/>
      <c r="L164" s="36"/>
      <c r="M164" s="20"/>
    </row>
    <row r="165" spans="2:13" s="16" customFormat="1" ht="24" customHeight="1" x14ac:dyDescent="0.25">
      <c r="B165" s="149"/>
      <c r="C165" s="110" t="s">
        <v>95</v>
      </c>
      <c r="D165" s="150"/>
      <c r="E165" s="3">
        <v>5152.8</v>
      </c>
      <c r="F165" s="70">
        <v>6675.7</v>
      </c>
      <c r="G165" s="118">
        <v>7422.56</v>
      </c>
      <c r="H165" s="118">
        <v>7422.56</v>
      </c>
      <c r="I165" s="118">
        <v>7422.56</v>
      </c>
      <c r="J165" s="35"/>
      <c r="K165" s="14"/>
      <c r="L165" s="36"/>
      <c r="M165" s="20"/>
    </row>
    <row r="166" spans="2:13" s="16" customFormat="1" ht="33" customHeight="1" x14ac:dyDescent="0.25">
      <c r="B166" s="149" t="s">
        <v>140</v>
      </c>
      <c r="C166" s="110" t="s">
        <v>123</v>
      </c>
      <c r="D166" s="150" t="s">
        <v>184</v>
      </c>
      <c r="E166" s="74">
        <v>1</v>
      </c>
      <c r="F166" s="74">
        <v>1</v>
      </c>
      <c r="G166" s="74">
        <v>1</v>
      </c>
      <c r="H166" s="74">
        <v>1</v>
      </c>
      <c r="I166" s="74">
        <v>1</v>
      </c>
      <c r="J166" s="35"/>
      <c r="K166" s="14"/>
      <c r="L166" s="36"/>
      <c r="M166" s="20"/>
    </row>
    <row r="167" spans="2:13" s="16" customFormat="1" ht="27" customHeight="1" x14ac:dyDescent="0.25">
      <c r="B167" s="149"/>
      <c r="C167" s="110" t="s">
        <v>95</v>
      </c>
      <c r="D167" s="150"/>
      <c r="E167" s="70">
        <v>206.1</v>
      </c>
      <c r="F167" s="117">
        <v>339.3</v>
      </c>
      <c r="G167" s="117">
        <v>582.15</v>
      </c>
      <c r="H167" s="117">
        <v>582.15</v>
      </c>
      <c r="I167" s="117">
        <v>582.15</v>
      </c>
      <c r="J167" s="35"/>
      <c r="K167" s="14"/>
      <c r="L167" s="36"/>
      <c r="M167" s="20"/>
    </row>
    <row r="168" spans="2:13" s="16" customFormat="1" ht="30.75" customHeight="1" x14ac:dyDescent="0.25">
      <c r="B168" s="151" t="s">
        <v>148</v>
      </c>
      <c r="C168" s="103" t="s">
        <v>123</v>
      </c>
      <c r="D168" s="152" t="s">
        <v>185</v>
      </c>
      <c r="E168" s="121">
        <v>44</v>
      </c>
      <c r="F168" s="121">
        <v>44</v>
      </c>
      <c r="G168" s="121">
        <v>79</v>
      </c>
      <c r="H168" s="122">
        <f t="shared" ref="H168:I191" si="3">G168</f>
        <v>79</v>
      </c>
      <c r="I168" s="122">
        <f t="shared" si="3"/>
        <v>79</v>
      </c>
      <c r="J168" s="35"/>
      <c r="K168" s="14"/>
      <c r="L168" s="36"/>
      <c r="M168" s="20"/>
    </row>
    <row r="169" spans="2:13" s="16" customFormat="1" ht="24" customHeight="1" x14ac:dyDescent="0.25">
      <c r="B169" s="151"/>
      <c r="C169" s="110" t="s">
        <v>95</v>
      </c>
      <c r="D169" s="152"/>
      <c r="E169" s="3">
        <v>5314.4</v>
      </c>
      <c r="F169" s="3">
        <v>4578.7</v>
      </c>
      <c r="G169" s="3">
        <v>5777.5</v>
      </c>
      <c r="H169" s="70">
        <f t="shared" si="3"/>
        <v>5777.5</v>
      </c>
      <c r="I169" s="70">
        <f t="shared" si="3"/>
        <v>5777.5</v>
      </c>
      <c r="J169" s="35"/>
      <c r="K169" s="14"/>
      <c r="L169" s="36"/>
      <c r="M169" s="20"/>
    </row>
    <row r="170" spans="2:13" s="16" customFormat="1" ht="36.75" customHeight="1" x14ac:dyDescent="0.25">
      <c r="B170" s="151" t="s">
        <v>149</v>
      </c>
      <c r="C170" s="110" t="s">
        <v>123</v>
      </c>
      <c r="D170" s="152" t="s">
        <v>185</v>
      </c>
      <c r="E170" s="3">
        <v>151</v>
      </c>
      <c r="F170" s="3">
        <v>151</v>
      </c>
      <c r="G170" s="3">
        <v>206</v>
      </c>
      <c r="H170" s="74">
        <f t="shared" si="3"/>
        <v>206</v>
      </c>
      <c r="I170" s="74">
        <f t="shared" si="3"/>
        <v>206</v>
      </c>
      <c r="J170" s="35"/>
      <c r="K170" s="14"/>
      <c r="L170" s="36"/>
      <c r="M170" s="20"/>
    </row>
    <row r="171" spans="2:13" s="16" customFormat="1" ht="15.75" x14ac:dyDescent="0.25">
      <c r="B171" s="151"/>
      <c r="C171" s="110" t="s">
        <v>95</v>
      </c>
      <c r="D171" s="152"/>
      <c r="E171" s="3">
        <v>4382.1000000000004</v>
      </c>
      <c r="F171" s="3">
        <v>4647</v>
      </c>
      <c r="G171" s="3">
        <v>5238.2</v>
      </c>
      <c r="H171" s="70">
        <f t="shared" si="3"/>
        <v>5238.2</v>
      </c>
      <c r="I171" s="70">
        <f t="shared" si="3"/>
        <v>5238.2</v>
      </c>
      <c r="J171" s="35"/>
      <c r="K171" s="14"/>
      <c r="L171" s="36"/>
      <c r="M171" s="20"/>
    </row>
    <row r="172" spans="2:13" s="16" customFormat="1" ht="34.5" customHeight="1" x14ac:dyDescent="0.25">
      <c r="B172" s="151" t="s">
        <v>150</v>
      </c>
      <c r="C172" s="110" t="s">
        <v>123</v>
      </c>
      <c r="D172" s="152" t="s">
        <v>185</v>
      </c>
      <c r="E172" s="3">
        <v>207</v>
      </c>
      <c r="F172" s="3">
        <v>207</v>
      </c>
      <c r="G172" s="3">
        <v>238</v>
      </c>
      <c r="H172" s="74">
        <f t="shared" si="3"/>
        <v>238</v>
      </c>
      <c r="I172" s="74">
        <f t="shared" si="3"/>
        <v>238</v>
      </c>
      <c r="J172" s="35"/>
      <c r="K172" s="14"/>
      <c r="L172" s="36"/>
      <c r="M172" s="20"/>
    </row>
    <row r="173" spans="2:13" s="16" customFormat="1" ht="24.75" customHeight="1" x14ac:dyDescent="0.25">
      <c r="B173" s="151"/>
      <c r="C173" s="110" t="s">
        <v>95</v>
      </c>
      <c r="D173" s="152"/>
      <c r="E173" s="3">
        <v>4195.6000000000004</v>
      </c>
      <c r="F173" s="3">
        <v>4100.3</v>
      </c>
      <c r="G173" s="3">
        <v>4272.8999999999996</v>
      </c>
      <c r="H173" s="70">
        <f t="shared" si="3"/>
        <v>4272.8999999999996</v>
      </c>
      <c r="I173" s="70">
        <f t="shared" si="3"/>
        <v>4272.8999999999996</v>
      </c>
      <c r="J173" s="35"/>
      <c r="K173" s="14"/>
      <c r="L173" s="36"/>
      <c r="M173" s="20"/>
    </row>
    <row r="174" spans="2:13" s="16" customFormat="1" ht="36" customHeight="1" x14ac:dyDescent="0.25">
      <c r="B174" s="151" t="s">
        <v>151</v>
      </c>
      <c r="C174" s="110" t="s">
        <v>123</v>
      </c>
      <c r="D174" s="152" t="s">
        <v>185</v>
      </c>
      <c r="E174" s="3">
        <v>66</v>
      </c>
      <c r="F174" s="3">
        <v>66</v>
      </c>
      <c r="G174" s="3">
        <v>91</v>
      </c>
      <c r="H174" s="74">
        <f t="shared" si="3"/>
        <v>91</v>
      </c>
      <c r="I174" s="74">
        <f t="shared" si="3"/>
        <v>91</v>
      </c>
      <c r="J174" s="35"/>
      <c r="K174" s="14"/>
      <c r="L174" s="36"/>
      <c r="M174" s="20"/>
    </row>
    <row r="175" spans="2:13" s="16" customFormat="1" ht="15.75" x14ac:dyDescent="0.25">
      <c r="B175" s="151"/>
      <c r="C175" s="110" t="s">
        <v>95</v>
      </c>
      <c r="D175" s="152"/>
      <c r="E175" s="3">
        <v>4363.3999999999996</v>
      </c>
      <c r="F175" s="3">
        <v>3717.6</v>
      </c>
      <c r="G175" s="3">
        <v>3659.1</v>
      </c>
      <c r="H175" s="70">
        <f t="shared" si="3"/>
        <v>3659.1</v>
      </c>
      <c r="I175" s="70">
        <f t="shared" si="3"/>
        <v>3659.1</v>
      </c>
      <c r="J175" s="35"/>
      <c r="K175" s="14"/>
      <c r="L175" s="36"/>
      <c r="M175" s="20"/>
    </row>
    <row r="176" spans="2:13" s="16" customFormat="1" ht="37.5" customHeight="1" x14ac:dyDescent="0.25">
      <c r="B176" s="151" t="s">
        <v>107</v>
      </c>
      <c r="C176" s="110" t="s">
        <v>123</v>
      </c>
      <c r="D176" s="152" t="s">
        <v>185</v>
      </c>
      <c r="E176" s="3">
        <v>12</v>
      </c>
      <c r="F176" s="3">
        <v>0</v>
      </c>
      <c r="G176" s="3">
        <v>0</v>
      </c>
      <c r="H176" s="74">
        <f t="shared" si="3"/>
        <v>0</v>
      </c>
      <c r="I176" s="74">
        <f t="shared" si="3"/>
        <v>0</v>
      </c>
      <c r="J176" s="35"/>
      <c r="K176" s="14"/>
      <c r="L176" s="36"/>
      <c r="M176" s="20"/>
    </row>
    <row r="177" spans="2:13" s="16" customFormat="1" ht="21.75" customHeight="1" x14ac:dyDescent="0.25">
      <c r="B177" s="151"/>
      <c r="C177" s="110" t="s">
        <v>95</v>
      </c>
      <c r="D177" s="152"/>
      <c r="E177" s="3">
        <v>4382.1000000000004</v>
      </c>
      <c r="F177" s="3">
        <v>0</v>
      </c>
      <c r="G177" s="3">
        <v>0</v>
      </c>
      <c r="H177" s="70">
        <f t="shared" si="3"/>
        <v>0</v>
      </c>
      <c r="I177" s="70">
        <f t="shared" si="3"/>
        <v>0</v>
      </c>
      <c r="J177" s="35"/>
      <c r="K177" s="37"/>
      <c r="L177" s="36"/>
      <c r="M177" s="20"/>
    </row>
    <row r="178" spans="2:13" s="16" customFormat="1" ht="38.25" customHeight="1" x14ac:dyDescent="0.25">
      <c r="B178" s="151" t="s">
        <v>108</v>
      </c>
      <c r="C178" s="110" t="s">
        <v>123</v>
      </c>
      <c r="D178" s="152" t="s">
        <v>185</v>
      </c>
      <c r="E178" s="3">
        <v>49</v>
      </c>
      <c r="F178" s="3">
        <v>49</v>
      </c>
      <c r="G178" s="3">
        <v>52</v>
      </c>
      <c r="H178" s="74">
        <f t="shared" si="3"/>
        <v>52</v>
      </c>
      <c r="I178" s="74">
        <f t="shared" si="3"/>
        <v>52</v>
      </c>
      <c r="J178" s="35"/>
      <c r="K178" s="14"/>
      <c r="L178" s="36"/>
      <c r="M178" s="20"/>
    </row>
    <row r="179" spans="2:13" s="16" customFormat="1" ht="15.75" x14ac:dyDescent="0.25">
      <c r="B179" s="151"/>
      <c r="C179" s="110" t="s">
        <v>95</v>
      </c>
      <c r="D179" s="152"/>
      <c r="E179" s="3">
        <v>4568.6000000000004</v>
      </c>
      <c r="F179" s="3">
        <v>3032.5</v>
      </c>
      <c r="G179" s="3">
        <v>3370.2</v>
      </c>
      <c r="H179" s="70">
        <f t="shared" si="3"/>
        <v>3370.2</v>
      </c>
      <c r="I179" s="70">
        <f t="shared" si="3"/>
        <v>3370.2</v>
      </c>
      <c r="J179" s="35"/>
      <c r="K179" s="14"/>
      <c r="L179" s="36"/>
      <c r="M179" s="20"/>
    </row>
    <row r="180" spans="2:13" s="16" customFormat="1" ht="37.5" customHeight="1" x14ac:dyDescent="0.25">
      <c r="B180" s="151" t="s">
        <v>109</v>
      </c>
      <c r="C180" s="110" t="s">
        <v>123</v>
      </c>
      <c r="D180" s="152" t="s">
        <v>185</v>
      </c>
      <c r="E180" s="3">
        <v>78</v>
      </c>
      <c r="F180" s="3">
        <v>78</v>
      </c>
      <c r="G180" s="3">
        <v>84</v>
      </c>
      <c r="H180" s="74">
        <f t="shared" si="3"/>
        <v>84</v>
      </c>
      <c r="I180" s="74">
        <f t="shared" si="3"/>
        <v>84</v>
      </c>
      <c r="J180" s="35"/>
      <c r="K180" s="14"/>
      <c r="L180" s="36"/>
      <c r="M180" s="20"/>
    </row>
    <row r="181" spans="2:13" s="16" customFormat="1" ht="24" customHeight="1" x14ac:dyDescent="0.25">
      <c r="B181" s="151"/>
      <c r="C181" s="110" t="s">
        <v>95</v>
      </c>
      <c r="D181" s="152"/>
      <c r="E181" s="3">
        <v>5109.3</v>
      </c>
      <c r="F181" s="3">
        <v>2596.9</v>
      </c>
      <c r="G181" s="3">
        <v>5835.2</v>
      </c>
      <c r="H181" s="70">
        <f t="shared" si="3"/>
        <v>5835.2</v>
      </c>
      <c r="I181" s="70">
        <f t="shared" si="3"/>
        <v>5835.2</v>
      </c>
      <c r="J181" s="35"/>
      <c r="K181" s="14"/>
      <c r="L181" s="36"/>
      <c r="M181" s="20"/>
    </row>
    <row r="182" spans="2:13" s="16" customFormat="1" ht="39.75" customHeight="1" x14ac:dyDescent="0.25">
      <c r="B182" s="151" t="s">
        <v>76</v>
      </c>
      <c r="C182" s="110" t="s">
        <v>123</v>
      </c>
      <c r="D182" s="152" t="s">
        <v>185</v>
      </c>
      <c r="E182" s="3">
        <v>43</v>
      </c>
      <c r="F182" s="3">
        <v>0</v>
      </c>
      <c r="G182" s="3">
        <v>0</v>
      </c>
      <c r="H182" s="74">
        <f t="shared" si="3"/>
        <v>0</v>
      </c>
      <c r="I182" s="74">
        <f t="shared" si="3"/>
        <v>0</v>
      </c>
      <c r="J182" s="35"/>
      <c r="K182" s="14"/>
      <c r="L182" s="36"/>
      <c r="M182" s="20"/>
    </row>
    <row r="183" spans="2:13" s="16" customFormat="1" ht="20.25" customHeight="1" x14ac:dyDescent="0.25">
      <c r="B183" s="151"/>
      <c r="C183" s="110" t="s">
        <v>95</v>
      </c>
      <c r="D183" s="152"/>
      <c r="E183" s="3">
        <v>5109.3</v>
      </c>
      <c r="F183" s="3">
        <v>0</v>
      </c>
      <c r="G183" s="3">
        <v>0</v>
      </c>
      <c r="H183" s="70">
        <f t="shared" si="3"/>
        <v>0</v>
      </c>
      <c r="I183" s="70">
        <f t="shared" si="3"/>
        <v>0</v>
      </c>
      <c r="J183" s="35"/>
      <c r="K183" s="14"/>
      <c r="L183" s="36"/>
      <c r="M183" s="20"/>
    </row>
    <row r="184" spans="2:13" s="16" customFormat="1" ht="42.75" customHeight="1" x14ac:dyDescent="0.25">
      <c r="B184" s="151" t="s">
        <v>77</v>
      </c>
      <c r="C184" s="110" t="s">
        <v>123</v>
      </c>
      <c r="D184" s="152" t="s">
        <v>185</v>
      </c>
      <c r="E184" s="3">
        <v>42</v>
      </c>
      <c r="F184" s="3">
        <v>0</v>
      </c>
      <c r="G184" s="3">
        <v>0</v>
      </c>
      <c r="H184" s="74">
        <f t="shared" si="3"/>
        <v>0</v>
      </c>
      <c r="I184" s="74">
        <f t="shared" si="3"/>
        <v>0</v>
      </c>
      <c r="J184" s="35"/>
      <c r="K184" s="14"/>
      <c r="L184" s="36"/>
      <c r="M184" s="20"/>
    </row>
    <row r="185" spans="2:13" s="16" customFormat="1" ht="15.75" x14ac:dyDescent="0.25">
      <c r="B185" s="151"/>
      <c r="C185" s="110" t="s">
        <v>95</v>
      </c>
      <c r="D185" s="152"/>
      <c r="E185" s="3">
        <v>3692.1</v>
      </c>
      <c r="F185" s="3">
        <v>0</v>
      </c>
      <c r="G185" s="3">
        <v>0</v>
      </c>
      <c r="H185" s="70">
        <f t="shared" si="3"/>
        <v>0</v>
      </c>
      <c r="I185" s="70">
        <f t="shared" si="3"/>
        <v>0</v>
      </c>
      <c r="J185" s="35"/>
      <c r="K185" s="14"/>
      <c r="L185" s="36"/>
      <c r="M185" s="20"/>
    </row>
    <row r="186" spans="2:13" s="16" customFormat="1" ht="28.5" customHeight="1" x14ac:dyDescent="0.25">
      <c r="B186" s="151" t="s">
        <v>152</v>
      </c>
      <c r="C186" s="110" t="s">
        <v>123</v>
      </c>
      <c r="D186" s="152" t="s">
        <v>185</v>
      </c>
      <c r="E186" s="3">
        <v>80</v>
      </c>
      <c r="F186" s="3">
        <v>0</v>
      </c>
      <c r="G186" s="3">
        <v>0</v>
      </c>
      <c r="H186" s="74">
        <f t="shared" si="3"/>
        <v>0</v>
      </c>
      <c r="I186" s="74">
        <f t="shared" si="3"/>
        <v>0</v>
      </c>
      <c r="J186" s="35"/>
      <c r="K186" s="14"/>
      <c r="L186" s="36"/>
      <c r="M186" s="20"/>
    </row>
    <row r="187" spans="2:13" s="16" customFormat="1" ht="27.75" customHeight="1" x14ac:dyDescent="0.25">
      <c r="B187" s="151"/>
      <c r="C187" s="110" t="s">
        <v>95</v>
      </c>
      <c r="D187" s="152"/>
      <c r="E187" s="3">
        <v>4363.3999999999996</v>
      </c>
      <c r="F187" s="3">
        <v>0</v>
      </c>
      <c r="G187" s="3">
        <v>0</v>
      </c>
      <c r="H187" s="70">
        <f t="shared" si="3"/>
        <v>0</v>
      </c>
      <c r="I187" s="70">
        <f t="shared" si="3"/>
        <v>0</v>
      </c>
      <c r="J187" s="35"/>
      <c r="K187" s="14"/>
      <c r="L187" s="36"/>
      <c r="M187" s="20"/>
    </row>
    <row r="188" spans="2:13" s="16" customFormat="1" ht="36.75" customHeight="1" x14ac:dyDescent="0.25">
      <c r="B188" s="151" t="s">
        <v>153</v>
      </c>
      <c r="C188" s="110" t="s">
        <v>123</v>
      </c>
      <c r="D188" s="152" t="s">
        <v>185</v>
      </c>
      <c r="E188" s="3">
        <v>14</v>
      </c>
      <c r="F188" s="3">
        <v>0</v>
      </c>
      <c r="G188" s="3">
        <v>0</v>
      </c>
      <c r="H188" s="74">
        <f t="shared" si="3"/>
        <v>0</v>
      </c>
      <c r="I188" s="74">
        <f t="shared" si="3"/>
        <v>0</v>
      </c>
      <c r="J188" s="35"/>
      <c r="K188" s="14"/>
      <c r="L188" s="36"/>
      <c r="M188" s="20"/>
    </row>
    <row r="189" spans="2:13" s="16" customFormat="1" ht="18.75" customHeight="1" x14ac:dyDescent="0.25">
      <c r="B189" s="151"/>
      <c r="C189" s="110" t="s">
        <v>95</v>
      </c>
      <c r="D189" s="152"/>
      <c r="E189" s="3">
        <v>5314.4</v>
      </c>
      <c r="F189" s="3">
        <v>0</v>
      </c>
      <c r="G189" s="3">
        <v>0</v>
      </c>
      <c r="H189" s="70">
        <f t="shared" si="3"/>
        <v>0</v>
      </c>
      <c r="I189" s="70">
        <f t="shared" si="3"/>
        <v>0</v>
      </c>
      <c r="J189" s="35"/>
      <c r="K189" s="14"/>
      <c r="L189" s="36"/>
      <c r="M189" s="20"/>
    </row>
    <row r="190" spans="2:13" s="16" customFormat="1" ht="38.25" customHeight="1" x14ac:dyDescent="0.25">
      <c r="B190" s="151" t="s">
        <v>154</v>
      </c>
      <c r="C190" s="110" t="s">
        <v>123</v>
      </c>
      <c r="D190" s="152" t="s">
        <v>185</v>
      </c>
      <c r="E190" s="3">
        <v>177</v>
      </c>
      <c r="F190" s="3">
        <v>0</v>
      </c>
      <c r="G190" s="3">
        <v>0</v>
      </c>
      <c r="H190" s="74">
        <f t="shared" si="3"/>
        <v>0</v>
      </c>
      <c r="I190" s="74">
        <f t="shared" si="3"/>
        <v>0</v>
      </c>
      <c r="J190" s="35"/>
      <c r="K190" s="14"/>
      <c r="L190" s="36"/>
      <c r="M190" s="20"/>
    </row>
    <row r="191" spans="2:13" s="16" customFormat="1" ht="15.75" x14ac:dyDescent="0.25">
      <c r="B191" s="151"/>
      <c r="C191" s="110" t="s">
        <v>95</v>
      </c>
      <c r="D191" s="152"/>
      <c r="E191" s="3">
        <v>3729.4</v>
      </c>
      <c r="F191" s="3">
        <v>0</v>
      </c>
      <c r="G191" s="3">
        <v>0</v>
      </c>
      <c r="H191" s="70">
        <f t="shared" si="3"/>
        <v>0</v>
      </c>
      <c r="I191" s="70">
        <f t="shared" si="3"/>
        <v>0</v>
      </c>
      <c r="J191" s="35"/>
      <c r="K191" s="14"/>
      <c r="L191" s="36"/>
      <c r="M191" s="20"/>
    </row>
    <row r="192" spans="2:13" s="16" customFormat="1" ht="30" customHeight="1" x14ac:dyDescent="0.25">
      <c r="B192" s="151" t="s">
        <v>155</v>
      </c>
      <c r="C192" s="110" t="s">
        <v>123</v>
      </c>
      <c r="D192" s="152" t="s">
        <v>185</v>
      </c>
      <c r="E192" s="3">
        <v>100</v>
      </c>
      <c r="F192" s="3">
        <v>0</v>
      </c>
      <c r="G192" s="3">
        <v>0</v>
      </c>
      <c r="H192" s="74">
        <f t="shared" ref="H192:I211" si="4">G192</f>
        <v>0</v>
      </c>
      <c r="I192" s="74">
        <f t="shared" si="4"/>
        <v>0</v>
      </c>
      <c r="J192" s="35"/>
      <c r="K192" s="14"/>
      <c r="L192" s="36"/>
      <c r="M192" s="20"/>
    </row>
    <row r="193" spans="2:13" s="16" customFormat="1" ht="28.5" customHeight="1" x14ac:dyDescent="0.25">
      <c r="B193" s="151"/>
      <c r="C193" s="110" t="s">
        <v>95</v>
      </c>
      <c r="D193" s="152"/>
      <c r="E193" s="3">
        <v>5426.3</v>
      </c>
      <c r="F193" s="3">
        <v>0</v>
      </c>
      <c r="G193" s="3">
        <v>0</v>
      </c>
      <c r="H193" s="70">
        <f t="shared" si="4"/>
        <v>0</v>
      </c>
      <c r="I193" s="70">
        <f t="shared" si="4"/>
        <v>0</v>
      </c>
      <c r="J193" s="35"/>
      <c r="K193" s="14"/>
      <c r="L193" s="36"/>
      <c r="M193" s="20"/>
    </row>
    <row r="194" spans="2:13" s="16" customFormat="1" ht="38.25" customHeight="1" x14ac:dyDescent="0.25">
      <c r="B194" s="151" t="s">
        <v>156</v>
      </c>
      <c r="C194" s="110" t="s">
        <v>123</v>
      </c>
      <c r="D194" s="152" t="s">
        <v>185</v>
      </c>
      <c r="E194" s="3">
        <v>6</v>
      </c>
      <c r="F194" s="3">
        <v>0</v>
      </c>
      <c r="G194" s="3">
        <v>0</v>
      </c>
      <c r="H194" s="74">
        <f t="shared" si="4"/>
        <v>0</v>
      </c>
      <c r="I194" s="74">
        <f t="shared" si="4"/>
        <v>0</v>
      </c>
      <c r="J194" s="35"/>
      <c r="K194" s="14"/>
      <c r="L194" s="36"/>
      <c r="M194" s="20"/>
    </row>
    <row r="195" spans="2:13" s="16" customFormat="1" ht="15.75" x14ac:dyDescent="0.25">
      <c r="B195" s="151"/>
      <c r="C195" s="110" t="s">
        <v>95</v>
      </c>
      <c r="D195" s="152"/>
      <c r="E195" s="3">
        <v>6526.5</v>
      </c>
      <c r="F195" s="3">
        <v>0</v>
      </c>
      <c r="G195" s="3">
        <v>0</v>
      </c>
      <c r="H195" s="70">
        <f t="shared" si="4"/>
        <v>0</v>
      </c>
      <c r="I195" s="70">
        <f t="shared" si="4"/>
        <v>0</v>
      </c>
      <c r="J195" s="35"/>
      <c r="K195" s="14"/>
      <c r="L195" s="36"/>
      <c r="M195" s="20"/>
    </row>
    <row r="196" spans="2:13" s="16" customFormat="1" ht="38.25" customHeight="1" x14ac:dyDescent="0.25">
      <c r="B196" s="151" t="s">
        <v>157</v>
      </c>
      <c r="C196" s="110" t="s">
        <v>123</v>
      </c>
      <c r="D196" s="152" t="s">
        <v>185</v>
      </c>
      <c r="E196" s="3">
        <v>5</v>
      </c>
      <c r="F196" s="3">
        <v>0</v>
      </c>
      <c r="G196" s="3">
        <v>0</v>
      </c>
      <c r="H196" s="74">
        <f t="shared" si="4"/>
        <v>0</v>
      </c>
      <c r="I196" s="74">
        <f t="shared" si="4"/>
        <v>0</v>
      </c>
      <c r="J196" s="35"/>
      <c r="K196" s="14"/>
      <c r="L196" s="36"/>
      <c r="M196" s="20"/>
    </row>
    <row r="197" spans="2:13" s="16" customFormat="1" ht="15.75" x14ac:dyDescent="0.25">
      <c r="B197" s="151"/>
      <c r="C197" s="110" t="s">
        <v>95</v>
      </c>
      <c r="D197" s="152"/>
      <c r="E197" s="3">
        <v>5549.2</v>
      </c>
      <c r="F197" s="3">
        <v>0</v>
      </c>
      <c r="G197" s="3">
        <v>0</v>
      </c>
      <c r="H197" s="70">
        <f t="shared" si="4"/>
        <v>0</v>
      </c>
      <c r="I197" s="70">
        <f t="shared" si="4"/>
        <v>0</v>
      </c>
      <c r="J197" s="35"/>
      <c r="K197" s="14"/>
      <c r="L197" s="36"/>
      <c r="M197" s="20"/>
    </row>
    <row r="198" spans="2:13" s="16" customFormat="1" ht="33.75" customHeight="1" x14ac:dyDescent="0.25">
      <c r="B198" s="151" t="s">
        <v>110</v>
      </c>
      <c r="C198" s="110" t="s">
        <v>123</v>
      </c>
      <c r="D198" s="152" t="s">
        <v>185</v>
      </c>
      <c r="E198" s="3">
        <v>4</v>
      </c>
      <c r="F198" s="3">
        <v>0</v>
      </c>
      <c r="G198" s="3">
        <v>0</v>
      </c>
      <c r="H198" s="74">
        <f t="shared" si="4"/>
        <v>0</v>
      </c>
      <c r="I198" s="74">
        <f t="shared" si="4"/>
        <v>0</v>
      </c>
      <c r="J198" s="35"/>
      <c r="K198" s="14"/>
      <c r="L198" s="36"/>
      <c r="M198" s="20"/>
    </row>
    <row r="199" spans="2:13" s="16" customFormat="1" ht="15.75" x14ac:dyDescent="0.25">
      <c r="B199" s="151"/>
      <c r="C199" s="110" t="s">
        <v>95</v>
      </c>
      <c r="D199" s="152"/>
      <c r="E199" s="3">
        <v>3487</v>
      </c>
      <c r="F199" s="3">
        <v>0</v>
      </c>
      <c r="G199" s="3">
        <v>0</v>
      </c>
      <c r="H199" s="70">
        <f t="shared" si="4"/>
        <v>0</v>
      </c>
      <c r="I199" s="70">
        <f t="shared" si="4"/>
        <v>0</v>
      </c>
      <c r="J199" s="35"/>
      <c r="K199" s="14"/>
      <c r="L199" s="36"/>
      <c r="M199" s="20"/>
    </row>
    <row r="200" spans="2:13" s="16" customFormat="1" ht="38.25" customHeight="1" x14ac:dyDescent="0.25">
      <c r="B200" s="151" t="s">
        <v>158</v>
      </c>
      <c r="C200" s="110" t="s">
        <v>123</v>
      </c>
      <c r="D200" s="152" t="s">
        <v>185</v>
      </c>
      <c r="E200" s="3">
        <v>67</v>
      </c>
      <c r="F200" s="3">
        <v>67</v>
      </c>
      <c r="G200" s="3">
        <v>71</v>
      </c>
      <c r="H200" s="74">
        <f t="shared" si="4"/>
        <v>71</v>
      </c>
      <c r="I200" s="74">
        <f t="shared" si="4"/>
        <v>71</v>
      </c>
      <c r="J200" s="35"/>
      <c r="K200" s="14"/>
      <c r="L200" s="36"/>
      <c r="M200" s="20"/>
    </row>
    <row r="201" spans="2:13" s="16" customFormat="1" ht="24.75" customHeight="1" x14ac:dyDescent="0.25">
      <c r="B201" s="151"/>
      <c r="C201" s="110" t="s">
        <v>95</v>
      </c>
      <c r="D201" s="152"/>
      <c r="E201" s="3">
        <v>3431.1</v>
      </c>
      <c r="F201" s="3">
        <v>2152.6999999999998</v>
      </c>
      <c r="G201" s="3">
        <v>7221.8</v>
      </c>
      <c r="H201" s="70">
        <f t="shared" si="4"/>
        <v>7221.8</v>
      </c>
      <c r="I201" s="70">
        <f t="shared" si="4"/>
        <v>7221.8</v>
      </c>
      <c r="J201" s="35"/>
      <c r="K201" s="14"/>
      <c r="L201" s="36"/>
      <c r="M201" s="20"/>
    </row>
    <row r="202" spans="2:13" s="16" customFormat="1" ht="48.75" customHeight="1" x14ac:dyDescent="0.25">
      <c r="B202" s="151" t="s">
        <v>78</v>
      </c>
      <c r="C202" s="110" t="s">
        <v>123</v>
      </c>
      <c r="D202" s="152" t="s">
        <v>185</v>
      </c>
      <c r="E202" s="3">
        <v>125</v>
      </c>
      <c r="F202" s="3">
        <v>125</v>
      </c>
      <c r="G202" s="3">
        <v>204</v>
      </c>
      <c r="H202" s="74">
        <f t="shared" si="4"/>
        <v>204</v>
      </c>
      <c r="I202" s="74">
        <f t="shared" si="4"/>
        <v>204</v>
      </c>
      <c r="J202" s="35"/>
      <c r="K202" s="14"/>
      <c r="L202" s="36"/>
      <c r="M202" s="20"/>
    </row>
    <row r="203" spans="2:13" s="16" customFormat="1" ht="15.75" x14ac:dyDescent="0.25">
      <c r="B203" s="151"/>
      <c r="C203" s="110" t="s">
        <v>95</v>
      </c>
      <c r="D203" s="152"/>
      <c r="E203" s="3">
        <v>1864.7</v>
      </c>
      <c r="F203" s="3">
        <v>2904.4</v>
      </c>
      <c r="G203" s="3">
        <v>6138.6</v>
      </c>
      <c r="H203" s="70">
        <f t="shared" si="4"/>
        <v>6138.6</v>
      </c>
      <c r="I203" s="70">
        <f t="shared" si="4"/>
        <v>6138.6</v>
      </c>
      <c r="J203" s="35"/>
      <c r="K203" s="14"/>
      <c r="L203" s="36"/>
      <c r="M203" s="20"/>
    </row>
    <row r="204" spans="2:13" s="16" customFormat="1" ht="30.75" customHeight="1" x14ac:dyDescent="0.25">
      <c r="B204" s="151" t="s">
        <v>79</v>
      </c>
      <c r="C204" s="110" t="s">
        <v>123</v>
      </c>
      <c r="D204" s="152" t="s">
        <v>185</v>
      </c>
      <c r="E204" s="3">
        <v>28</v>
      </c>
      <c r="F204" s="3">
        <v>28</v>
      </c>
      <c r="G204" s="3">
        <v>57</v>
      </c>
      <c r="H204" s="74">
        <f t="shared" si="4"/>
        <v>57</v>
      </c>
      <c r="I204" s="74">
        <f t="shared" si="4"/>
        <v>57</v>
      </c>
      <c r="J204" s="35"/>
      <c r="K204" s="14"/>
      <c r="L204" s="36"/>
      <c r="M204" s="20"/>
    </row>
    <row r="205" spans="2:13" s="16" customFormat="1" ht="23.25" customHeight="1" x14ac:dyDescent="0.25">
      <c r="B205" s="151"/>
      <c r="C205" s="110" t="s">
        <v>95</v>
      </c>
      <c r="D205" s="152"/>
      <c r="E205" s="3">
        <v>3449.7</v>
      </c>
      <c r="F205" s="3">
        <v>3929.4</v>
      </c>
      <c r="G205" s="3">
        <v>5825.6</v>
      </c>
      <c r="H205" s="70">
        <f t="shared" si="4"/>
        <v>5825.6</v>
      </c>
      <c r="I205" s="70">
        <f t="shared" si="4"/>
        <v>5825.6</v>
      </c>
      <c r="J205" s="35"/>
      <c r="K205" s="14"/>
      <c r="L205" s="36"/>
      <c r="M205" s="20"/>
    </row>
    <row r="206" spans="2:13" s="16" customFormat="1" ht="28.5" customHeight="1" x14ac:dyDescent="0.25">
      <c r="B206" s="151" t="s">
        <v>102</v>
      </c>
      <c r="C206" s="110" t="s">
        <v>123</v>
      </c>
      <c r="D206" s="152" t="s">
        <v>185</v>
      </c>
      <c r="E206" s="3">
        <v>43</v>
      </c>
      <c r="F206" s="3">
        <v>43</v>
      </c>
      <c r="G206" s="3">
        <v>56</v>
      </c>
      <c r="H206" s="74">
        <f t="shared" si="4"/>
        <v>56</v>
      </c>
      <c r="I206" s="74">
        <f t="shared" si="4"/>
        <v>56</v>
      </c>
      <c r="J206" s="35"/>
      <c r="K206" s="14"/>
      <c r="L206" s="36"/>
      <c r="M206" s="20"/>
    </row>
    <row r="207" spans="2:13" s="16" customFormat="1" ht="31.5" customHeight="1" x14ac:dyDescent="0.25">
      <c r="B207" s="151"/>
      <c r="C207" s="110" t="s">
        <v>95</v>
      </c>
      <c r="D207" s="152"/>
      <c r="E207" s="3">
        <v>5090.7</v>
      </c>
      <c r="F207" s="3">
        <v>3792.8</v>
      </c>
      <c r="G207" s="3">
        <v>4800.1000000000004</v>
      </c>
      <c r="H207" s="70">
        <f t="shared" si="4"/>
        <v>4800.1000000000004</v>
      </c>
      <c r="I207" s="70">
        <f t="shared" si="4"/>
        <v>4800.1000000000004</v>
      </c>
      <c r="J207" s="35"/>
      <c r="K207" s="14"/>
      <c r="L207" s="36"/>
      <c r="M207" s="20"/>
    </row>
    <row r="208" spans="2:13" s="16" customFormat="1" ht="39" customHeight="1" x14ac:dyDescent="0.25">
      <c r="B208" s="151" t="s">
        <v>80</v>
      </c>
      <c r="C208" s="110" t="s">
        <v>123</v>
      </c>
      <c r="D208" s="152" t="s">
        <v>185</v>
      </c>
      <c r="E208" s="3">
        <v>42</v>
      </c>
      <c r="F208" s="3">
        <v>42</v>
      </c>
      <c r="G208" s="3">
        <v>24</v>
      </c>
      <c r="H208" s="74">
        <f t="shared" si="4"/>
        <v>24</v>
      </c>
      <c r="I208" s="74">
        <f t="shared" si="4"/>
        <v>24</v>
      </c>
      <c r="J208" s="35"/>
      <c r="K208" s="14"/>
      <c r="L208" s="36"/>
      <c r="M208" s="20"/>
    </row>
    <row r="209" spans="2:13" s="16" customFormat="1" ht="15.75" x14ac:dyDescent="0.25">
      <c r="B209" s="151"/>
      <c r="C209" s="110" t="s">
        <v>95</v>
      </c>
      <c r="D209" s="152"/>
      <c r="E209" s="3">
        <v>2909</v>
      </c>
      <c r="F209" s="3">
        <v>2877</v>
      </c>
      <c r="G209" s="3">
        <v>3610.9</v>
      </c>
      <c r="H209" s="70">
        <f t="shared" si="4"/>
        <v>3610.9</v>
      </c>
      <c r="I209" s="70">
        <f t="shared" si="4"/>
        <v>3610.9</v>
      </c>
      <c r="J209" s="35"/>
      <c r="K209" s="14"/>
      <c r="L209" s="36"/>
      <c r="M209" s="20"/>
    </row>
    <row r="210" spans="2:13" s="16" customFormat="1" ht="34.5" customHeight="1" x14ac:dyDescent="0.25">
      <c r="B210" s="151" t="s">
        <v>81</v>
      </c>
      <c r="C210" s="110" t="s">
        <v>123</v>
      </c>
      <c r="D210" s="152" t="s">
        <v>185</v>
      </c>
      <c r="E210" s="3">
        <v>59</v>
      </c>
      <c r="F210" s="3">
        <v>59</v>
      </c>
      <c r="G210" s="3">
        <v>115</v>
      </c>
      <c r="H210" s="74">
        <f t="shared" si="4"/>
        <v>115</v>
      </c>
      <c r="I210" s="74">
        <f t="shared" si="4"/>
        <v>115</v>
      </c>
      <c r="J210" s="35"/>
      <c r="K210" s="14"/>
      <c r="L210" s="36"/>
      <c r="M210" s="20"/>
    </row>
    <row r="211" spans="2:13" s="16" customFormat="1" ht="15.75" x14ac:dyDescent="0.25">
      <c r="B211" s="151"/>
      <c r="C211" s="110" t="s">
        <v>95</v>
      </c>
      <c r="D211" s="152"/>
      <c r="E211" s="3">
        <v>3207.3</v>
      </c>
      <c r="F211" s="3">
        <v>2007.4</v>
      </c>
      <c r="G211" s="3">
        <v>6018.2</v>
      </c>
      <c r="H211" s="70">
        <f t="shared" si="4"/>
        <v>6018.2</v>
      </c>
      <c r="I211" s="70">
        <f t="shared" si="4"/>
        <v>6018.2</v>
      </c>
      <c r="J211" s="35"/>
      <c r="K211" s="14"/>
      <c r="L211" s="36"/>
      <c r="M211" s="20"/>
    </row>
    <row r="212" spans="2:13" s="16" customFormat="1" ht="33.75" customHeight="1" x14ac:dyDescent="0.25">
      <c r="B212" s="151" t="s">
        <v>159</v>
      </c>
      <c r="C212" s="110" t="s">
        <v>123</v>
      </c>
      <c r="D212" s="152" t="s">
        <v>185</v>
      </c>
      <c r="E212" s="3">
        <v>26</v>
      </c>
      <c r="F212" s="3">
        <v>0</v>
      </c>
      <c r="G212" s="3">
        <v>0</v>
      </c>
      <c r="H212" s="74">
        <f t="shared" ref="H212:I231" si="5">G212</f>
        <v>0</v>
      </c>
      <c r="I212" s="74">
        <f t="shared" si="5"/>
        <v>0</v>
      </c>
      <c r="J212" s="35"/>
      <c r="K212" s="14"/>
      <c r="L212" s="36"/>
      <c r="M212" s="20"/>
    </row>
    <row r="213" spans="2:13" s="16" customFormat="1" ht="29.25" customHeight="1" x14ac:dyDescent="0.25">
      <c r="B213" s="151"/>
      <c r="C213" s="110" t="s">
        <v>95</v>
      </c>
      <c r="D213" s="152"/>
      <c r="E213" s="3">
        <v>4531.3</v>
      </c>
      <c r="F213" s="3">
        <v>0</v>
      </c>
      <c r="G213" s="3">
        <v>0</v>
      </c>
      <c r="H213" s="70">
        <f t="shared" si="5"/>
        <v>0</v>
      </c>
      <c r="I213" s="70">
        <f t="shared" si="5"/>
        <v>0</v>
      </c>
      <c r="J213" s="35"/>
      <c r="K213" s="14"/>
      <c r="L213" s="36"/>
      <c r="M213" s="20"/>
    </row>
    <row r="214" spans="2:13" s="16" customFormat="1" ht="19.5" customHeight="1" x14ac:dyDescent="0.25">
      <c r="B214" s="151" t="s">
        <v>106</v>
      </c>
      <c r="C214" s="110" t="s">
        <v>123</v>
      </c>
      <c r="D214" s="152" t="s">
        <v>185</v>
      </c>
      <c r="E214" s="3">
        <v>14</v>
      </c>
      <c r="F214" s="3">
        <v>0</v>
      </c>
      <c r="G214" s="3">
        <v>0</v>
      </c>
      <c r="H214" s="74">
        <f t="shared" si="5"/>
        <v>0</v>
      </c>
      <c r="I214" s="74">
        <f t="shared" si="5"/>
        <v>0</v>
      </c>
      <c r="J214" s="35"/>
      <c r="K214" s="14"/>
      <c r="L214" s="36"/>
      <c r="M214" s="20"/>
    </row>
    <row r="215" spans="2:13" s="16" customFormat="1" ht="39.75" customHeight="1" x14ac:dyDescent="0.25">
      <c r="B215" s="151"/>
      <c r="C215" s="110" t="s">
        <v>95</v>
      </c>
      <c r="D215" s="152"/>
      <c r="E215" s="3">
        <v>1864.7</v>
      </c>
      <c r="F215" s="3">
        <v>0</v>
      </c>
      <c r="G215" s="3">
        <v>0</v>
      </c>
      <c r="H215" s="70">
        <f t="shared" si="5"/>
        <v>0</v>
      </c>
      <c r="I215" s="70">
        <f t="shared" si="5"/>
        <v>0</v>
      </c>
      <c r="J215" s="35"/>
      <c r="K215" s="14"/>
      <c r="L215" s="36"/>
      <c r="M215" s="20"/>
    </row>
    <row r="216" spans="2:13" s="16" customFormat="1" ht="21.75" customHeight="1" x14ac:dyDescent="0.25">
      <c r="B216" s="151" t="s">
        <v>82</v>
      </c>
      <c r="C216" s="110" t="s">
        <v>123</v>
      </c>
      <c r="D216" s="152" t="s">
        <v>185</v>
      </c>
      <c r="E216" s="3">
        <v>7</v>
      </c>
      <c r="F216" s="3">
        <v>0</v>
      </c>
      <c r="G216" s="3">
        <v>0</v>
      </c>
      <c r="H216" s="74">
        <f t="shared" si="5"/>
        <v>0</v>
      </c>
      <c r="I216" s="74">
        <f t="shared" si="5"/>
        <v>0</v>
      </c>
      <c r="J216" s="35"/>
      <c r="K216" s="14"/>
      <c r="L216" s="36"/>
      <c r="M216" s="20"/>
    </row>
    <row r="217" spans="2:13" s="16" customFormat="1" ht="39.75" customHeight="1" x14ac:dyDescent="0.25">
      <c r="B217" s="151"/>
      <c r="C217" s="110" t="s">
        <v>95</v>
      </c>
      <c r="D217" s="152"/>
      <c r="E217" s="3">
        <v>3449.7</v>
      </c>
      <c r="F217" s="3">
        <v>0</v>
      </c>
      <c r="G217" s="3">
        <v>0</v>
      </c>
      <c r="H217" s="70">
        <f t="shared" si="5"/>
        <v>0</v>
      </c>
      <c r="I217" s="70">
        <f t="shared" si="5"/>
        <v>0</v>
      </c>
      <c r="J217" s="35"/>
      <c r="K217" s="14"/>
      <c r="L217" s="36"/>
      <c r="M217" s="20"/>
    </row>
    <row r="218" spans="2:13" s="16" customFormat="1" ht="21" customHeight="1" x14ac:dyDescent="0.25">
      <c r="B218" s="151" t="s">
        <v>83</v>
      </c>
      <c r="C218" s="110" t="s">
        <v>123</v>
      </c>
      <c r="D218" s="152" t="s">
        <v>185</v>
      </c>
      <c r="E218" s="3">
        <v>47</v>
      </c>
      <c r="F218" s="3">
        <v>0</v>
      </c>
      <c r="G218" s="3">
        <v>0</v>
      </c>
      <c r="H218" s="74">
        <f t="shared" si="5"/>
        <v>0</v>
      </c>
      <c r="I218" s="74">
        <f t="shared" si="5"/>
        <v>0</v>
      </c>
      <c r="J218" s="35"/>
      <c r="K218" s="14"/>
      <c r="L218" s="36"/>
      <c r="M218" s="20"/>
    </row>
    <row r="219" spans="2:13" s="16" customFormat="1" ht="36" customHeight="1" x14ac:dyDescent="0.25">
      <c r="B219" s="151"/>
      <c r="C219" s="110" t="s">
        <v>95</v>
      </c>
      <c r="D219" s="152"/>
      <c r="E219" s="3">
        <v>2536</v>
      </c>
      <c r="F219" s="3">
        <v>0</v>
      </c>
      <c r="G219" s="3">
        <v>0</v>
      </c>
      <c r="H219" s="70">
        <f t="shared" si="5"/>
        <v>0</v>
      </c>
      <c r="I219" s="70">
        <f t="shared" si="5"/>
        <v>0</v>
      </c>
      <c r="J219" s="35"/>
      <c r="K219" s="14"/>
      <c r="L219" s="36"/>
      <c r="M219" s="20"/>
    </row>
    <row r="220" spans="2:13" s="16" customFormat="1" ht="24" customHeight="1" x14ac:dyDescent="0.25">
      <c r="B220" s="151" t="s">
        <v>84</v>
      </c>
      <c r="C220" s="110" t="s">
        <v>123</v>
      </c>
      <c r="D220" s="152" t="s">
        <v>185</v>
      </c>
      <c r="E220" s="3">
        <v>7</v>
      </c>
      <c r="F220" s="70">
        <v>0</v>
      </c>
      <c r="G220" s="3">
        <v>0</v>
      </c>
      <c r="H220" s="74">
        <f t="shared" si="5"/>
        <v>0</v>
      </c>
      <c r="I220" s="74">
        <f t="shared" si="5"/>
        <v>0</v>
      </c>
      <c r="J220" s="35"/>
      <c r="K220" s="14"/>
      <c r="L220" s="36"/>
      <c r="M220" s="20"/>
    </row>
    <row r="221" spans="2:13" s="16" customFormat="1" ht="30" customHeight="1" x14ac:dyDescent="0.25">
      <c r="B221" s="151"/>
      <c r="C221" s="110" t="s">
        <v>95</v>
      </c>
      <c r="D221" s="152"/>
      <c r="E221" s="3">
        <v>3729.4</v>
      </c>
      <c r="F221" s="70">
        <v>0</v>
      </c>
      <c r="G221" s="3">
        <v>0</v>
      </c>
      <c r="H221" s="70">
        <f t="shared" si="5"/>
        <v>0</v>
      </c>
      <c r="I221" s="70">
        <f t="shared" si="5"/>
        <v>0</v>
      </c>
      <c r="J221" s="35"/>
      <c r="K221" s="14"/>
      <c r="L221" s="36"/>
      <c r="M221" s="20"/>
    </row>
    <row r="222" spans="2:13" s="16" customFormat="1" ht="26.25" customHeight="1" x14ac:dyDescent="0.25">
      <c r="B222" s="151" t="s">
        <v>85</v>
      </c>
      <c r="C222" s="110" t="s">
        <v>123</v>
      </c>
      <c r="D222" s="152" t="s">
        <v>185</v>
      </c>
      <c r="E222" s="3">
        <v>19</v>
      </c>
      <c r="F222" s="70">
        <v>0</v>
      </c>
      <c r="G222" s="3">
        <v>0</v>
      </c>
      <c r="H222" s="74">
        <f t="shared" si="5"/>
        <v>0</v>
      </c>
      <c r="I222" s="74">
        <f t="shared" si="5"/>
        <v>0</v>
      </c>
      <c r="J222" s="35"/>
      <c r="K222" s="14"/>
      <c r="L222" s="36"/>
      <c r="M222" s="20"/>
    </row>
    <row r="223" spans="2:13" s="16" customFormat="1" ht="33" customHeight="1" x14ac:dyDescent="0.25">
      <c r="B223" s="151"/>
      <c r="C223" s="110" t="s">
        <v>95</v>
      </c>
      <c r="D223" s="152"/>
      <c r="E223" s="3">
        <v>5594.2</v>
      </c>
      <c r="F223" s="70">
        <v>0</v>
      </c>
      <c r="G223" s="3">
        <v>0</v>
      </c>
      <c r="H223" s="70">
        <f t="shared" si="5"/>
        <v>0</v>
      </c>
      <c r="I223" s="70">
        <f t="shared" si="5"/>
        <v>0</v>
      </c>
      <c r="J223" s="35"/>
      <c r="K223" s="14"/>
      <c r="L223" s="36"/>
      <c r="M223" s="20"/>
    </row>
    <row r="224" spans="2:13" s="16" customFormat="1" ht="35.25" customHeight="1" x14ac:dyDescent="0.25">
      <c r="B224" s="151" t="s">
        <v>86</v>
      </c>
      <c r="C224" s="110" t="s">
        <v>123</v>
      </c>
      <c r="D224" s="152" t="s">
        <v>185</v>
      </c>
      <c r="E224" s="3">
        <v>4</v>
      </c>
      <c r="F224" s="70">
        <v>4</v>
      </c>
      <c r="G224" s="3">
        <v>10</v>
      </c>
      <c r="H224" s="74">
        <f t="shared" si="5"/>
        <v>10</v>
      </c>
      <c r="I224" s="74">
        <f t="shared" si="5"/>
        <v>10</v>
      </c>
      <c r="J224" s="35"/>
      <c r="K224" s="14"/>
      <c r="L224" s="36"/>
      <c r="M224" s="20"/>
    </row>
    <row r="225" spans="2:13" s="16" customFormat="1" ht="32.25" customHeight="1" x14ac:dyDescent="0.25">
      <c r="B225" s="151"/>
      <c r="C225" s="110" t="s">
        <v>95</v>
      </c>
      <c r="D225" s="152"/>
      <c r="E225" s="3">
        <v>2051.1999999999998</v>
      </c>
      <c r="F225" s="70">
        <v>6150.4</v>
      </c>
      <c r="G225" s="3">
        <v>6018.2</v>
      </c>
      <c r="H225" s="70">
        <f t="shared" si="5"/>
        <v>6018.2</v>
      </c>
      <c r="I225" s="70">
        <f t="shared" si="5"/>
        <v>6018.2</v>
      </c>
      <c r="J225" s="35"/>
      <c r="K225" s="14"/>
      <c r="L225" s="36"/>
      <c r="M225" s="20"/>
    </row>
    <row r="226" spans="2:13" s="16" customFormat="1" ht="39" customHeight="1" x14ac:dyDescent="0.25">
      <c r="B226" s="151" t="s">
        <v>160</v>
      </c>
      <c r="C226" s="110" t="s">
        <v>123</v>
      </c>
      <c r="D226" s="152" t="s">
        <v>185</v>
      </c>
      <c r="E226" s="3">
        <v>14</v>
      </c>
      <c r="F226" s="70">
        <v>0</v>
      </c>
      <c r="G226" s="3">
        <v>0</v>
      </c>
      <c r="H226" s="74">
        <f t="shared" si="5"/>
        <v>0</v>
      </c>
      <c r="I226" s="74">
        <f t="shared" si="5"/>
        <v>0</v>
      </c>
      <c r="J226" s="35"/>
      <c r="K226" s="14"/>
      <c r="L226" s="36"/>
      <c r="M226" s="20"/>
    </row>
    <row r="227" spans="2:13" s="16" customFormat="1" ht="16.5" customHeight="1" x14ac:dyDescent="0.25">
      <c r="B227" s="151"/>
      <c r="C227" s="110" t="s">
        <v>95</v>
      </c>
      <c r="D227" s="152"/>
      <c r="E227" s="3">
        <v>2424.1</v>
      </c>
      <c r="F227" s="70">
        <v>0</v>
      </c>
      <c r="G227" s="3">
        <v>0</v>
      </c>
      <c r="H227" s="70">
        <f t="shared" si="5"/>
        <v>0</v>
      </c>
      <c r="I227" s="70">
        <f t="shared" si="5"/>
        <v>0</v>
      </c>
      <c r="J227" s="35"/>
      <c r="K227" s="14"/>
      <c r="L227" s="36"/>
      <c r="M227" s="20"/>
    </row>
    <row r="228" spans="2:13" s="16" customFormat="1" ht="21.75" customHeight="1" x14ac:dyDescent="0.25">
      <c r="B228" s="151" t="s">
        <v>87</v>
      </c>
      <c r="C228" s="110" t="s">
        <v>123</v>
      </c>
      <c r="D228" s="152" t="s">
        <v>185</v>
      </c>
      <c r="E228" s="3">
        <v>4</v>
      </c>
      <c r="F228" s="70">
        <v>4</v>
      </c>
      <c r="G228" s="3">
        <v>2</v>
      </c>
      <c r="H228" s="74">
        <f t="shared" si="5"/>
        <v>2</v>
      </c>
      <c r="I228" s="74">
        <f t="shared" si="5"/>
        <v>2</v>
      </c>
      <c r="J228" s="35"/>
      <c r="K228" s="14"/>
      <c r="L228" s="36"/>
      <c r="M228" s="20"/>
    </row>
    <row r="229" spans="2:13" s="16" customFormat="1" ht="32.25" customHeight="1" x14ac:dyDescent="0.25">
      <c r="B229" s="151"/>
      <c r="C229" s="110" t="s">
        <v>95</v>
      </c>
      <c r="D229" s="152"/>
      <c r="E229" s="3">
        <v>2275</v>
      </c>
      <c r="F229" s="70">
        <v>2169.75</v>
      </c>
      <c r="G229" s="3">
        <v>6403.4</v>
      </c>
      <c r="H229" s="70">
        <f t="shared" si="5"/>
        <v>6403.4</v>
      </c>
      <c r="I229" s="70">
        <f t="shared" si="5"/>
        <v>6403.4</v>
      </c>
      <c r="J229" s="35"/>
      <c r="K229" s="14"/>
      <c r="L229" s="36"/>
      <c r="M229" s="20"/>
    </row>
    <row r="230" spans="2:13" s="10" customFormat="1" ht="24.75" customHeight="1" x14ac:dyDescent="0.25">
      <c r="B230" s="151" t="s">
        <v>161</v>
      </c>
      <c r="C230" s="110" t="s">
        <v>123</v>
      </c>
      <c r="D230" s="152" t="s">
        <v>185</v>
      </c>
      <c r="E230" s="3">
        <v>3</v>
      </c>
      <c r="F230" s="70">
        <v>0</v>
      </c>
      <c r="G230" s="3">
        <v>0</v>
      </c>
      <c r="H230" s="74">
        <f t="shared" si="5"/>
        <v>0</v>
      </c>
      <c r="I230" s="74">
        <f t="shared" si="5"/>
        <v>0</v>
      </c>
      <c r="J230" s="38"/>
      <c r="K230" s="14"/>
      <c r="L230" s="39"/>
      <c r="M230" s="11"/>
    </row>
    <row r="231" spans="2:13" s="10" customFormat="1" ht="33.75" customHeight="1" x14ac:dyDescent="0.25">
      <c r="B231" s="151"/>
      <c r="C231" s="110" t="s">
        <v>95</v>
      </c>
      <c r="D231" s="152"/>
      <c r="E231" s="3">
        <v>4288.8999999999996</v>
      </c>
      <c r="F231" s="70">
        <v>0</v>
      </c>
      <c r="G231" s="3">
        <v>0</v>
      </c>
      <c r="H231" s="70">
        <f t="shared" si="5"/>
        <v>0</v>
      </c>
      <c r="I231" s="70">
        <f t="shared" si="5"/>
        <v>0</v>
      </c>
      <c r="J231" s="38"/>
      <c r="K231" s="14"/>
      <c r="L231" s="39"/>
      <c r="M231" s="11"/>
    </row>
    <row r="232" spans="2:13" s="16" customFormat="1" ht="30" customHeight="1" x14ac:dyDescent="0.25">
      <c r="B232" s="151" t="s">
        <v>162</v>
      </c>
      <c r="C232" s="110" t="s">
        <v>123</v>
      </c>
      <c r="D232" s="152" t="s">
        <v>185</v>
      </c>
      <c r="E232" s="3">
        <v>0</v>
      </c>
      <c r="F232" s="70">
        <v>43</v>
      </c>
      <c r="G232" s="3">
        <v>39</v>
      </c>
      <c r="H232" s="70">
        <f>G232</f>
        <v>39</v>
      </c>
      <c r="I232" s="70">
        <f t="shared" ref="I232:I239" si="6">H232</f>
        <v>39</v>
      </c>
      <c r="J232" s="35"/>
      <c r="K232" s="14"/>
      <c r="L232" s="36"/>
      <c r="M232" s="20"/>
    </row>
    <row r="233" spans="2:13" s="16" customFormat="1" ht="36" customHeight="1" x14ac:dyDescent="0.25">
      <c r="B233" s="151"/>
      <c r="C233" s="110" t="s">
        <v>95</v>
      </c>
      <c r="D233" s="152"/>
      <c r="E233" s="3">
        <v>0</v>
      </c>
      <c r="F233" s="70">
        <v>1944.26</v>
      </c>
      <c r="G233" s="3">
        <v>4417.3999999999996</v>
      </c>
      <c r="H233" s="70">
        <f>G233</f>
        <v>4417.3999999999996</v>
      </c>
      <c r="I233" s="70">
        <f t="shared" si="6"/>
        <v>4417.3999999999996</v>
      </c>
      <c r="J233" s="35"/>
      <c r="K233" s="14"/>
      <c r="L233" s="36"/>
      <c r="M233" s="20"/>
    </row>
    <row r="234" spans="2:13" s="16" customFormat="1" ht="50.25" customHeight="1" x14ac:dyDescent="0.25">
      <c r="B234" s="151" t="s">
        <v>163</v>
      </c>
      <c r="C234" s="110" t="s">
        <v>123</v>
      </c>
      <c r="D234" s="152" t="s">
        <v>185</v>
      </c>
      <c r="E234" s="3">
        <v>0</v>
      </c>
      <c r="F234" s="70">
        <v>42</v>
      </c>
      <c r="G234" s="3">
        <v>49</v>
      </c>
      <c r="H234" s="74">
        <f>G234</f>
        <v>49</v>
      </c>
      <c r="I234" s="74">
        <f t="shared" si="6"/>
        <v>49</v>
      </c>
      <c r="J234" s="35"/>
      <c r="K234" s="40"/>
      <c r="L234" s="36"/>
      <c r="M234" s="20"/>
    </row>
    <row r="235" spans="2:13" s="16" customFormat="1" ht="21.75" customHeight="1" x14ac:dyDescent="0.25">
      <c r="B235" s="151"/>
      <c r="C235" s="110" t="s">
        <v>95</v>
      </c>
      <c r="D235" s="152"/>
      <c r="E235" s="3">
        <v>0</v>
      </c>
      <c r="F235" s="70">
        <v>4124.2</v>
      </c>
      <c r="G235" s="3">
        <v>6981.1</v>
      </c>
      <c r="H235" s="70">
        <f t="shared" ref="H235:I263" si="7">G235</f>
        <v>6981.1</v>
      </c>
      <c r="I235" s="70">
        <f t="shared" si="6"/>
        <v>6981.1</v>
      </c>
      <c r="J235" s="35"/>
      <c r="K235" s="40"/>
      <c r="L235" s="36"/>
      <c r="M235" s="20"/>
    </row>
    <row r="236" spans="2:13" s="16" customFormat="1" ht="34.5" customHeight="1" x14ac:dyDescent="0.25">
      <c r="B236" s="151" t="s">
        <v>164</v>
      </c>
      <c r="C236" s="110" t="s">
        <v>123</v>
      </c>
      <c r="D236" s="152" t="s">
        <v>185</v>
      </c>
      <c r="E236" s="3">
        <v>0</v>
      </c>
      <c r="F236" s="70">
        <v>80</v>
      </c>
      <c r="G236" s="3">
        <v>84</v>
      </c>
      <c r="H236" s="74">
        <f t="shared" si="7"/>
        <v>84</v>
      </c>
      <c r="I236" s="74">
        <f t="shared" si="6"/>
        <v>84</v>
      </c>
      <c r="J236" s="35"/>
      <c r="K236" s="40"/>
      <c r="L236" s="36"/>
      <c r="M236" s="20"/>
    </row>
    <row r="237" spans="2:13" s="16" customFormat="1" ht="33.75" customHeight="1" x14ac:dyDescent="0.25">
      <c r="B237" s="151"/>
      <c r="C237" s="110" t="s">
        <v>95</v>
      </c>
      <c r="D237" s="152"/>
      <c r="E237" s="3">
        <v>0</v>
      </c>
      <c r="F237" s="70">
        <v>2135.65</v>
      </c>
      <c r="G237" s="3">
        <v>4246.3999999999996</v>
      </c>
      <c r="H237" s="70">
        <f t="shared" si="7"/>
        <v>4246.3999999999996</v>
      </c>
      <c r="I237" s="70">
        <f t="shared" si="6"/>
        <v>4246.3999999999996</v>
      </c>
      <c r="J237" s="35"/>
      <c r="K237" s="40"/>
      <c r="L237" s="36"/>
      <c r="M237" s="20"/>
    </row>
    <row r="238" spans="2:13" s="16" customFormat="1" ht="51" customHeight="1" x14ac:dyDescent="0.25">
      <c r="B238" s="151" t="s">
        <v>165</v>
      </c>
      <c r="C238" s="110" t="s">
        <v>123</v>
      </c>
      <c r="D238" s="152" t="s">
        <v>185</v>
      </c>
      <c r="E238" s="3">
        <v>0</v>
      </c>
      <c r="F238" s="70">
        <v>177</v>
      </c>
      <c r="G238" s="3">
        <v>173</v>
      </c>
      <c r="H238" s="74">
        <f t="shared" si="7"/>
        <v>173</v>
      </c>
      <c r="I238" s="74">
        <f t="shared" si="6"/>
        <v>173</v>
      </c>
      <c r="J238" s="35"/>
      <c r="K238" s="40"/>
      <c r="L238" s="36"/>
      <c r="M238" s="20"/>
    </row>
    <row r="239" spans="2:13" s="16" customFormat="1" ht="22.5" customHeight="1" x14ac:dyDescent="0.25">
      <c r="B239" s="151"/>
      <c r="C239" s="110" t="s">
        <v>95</v>
      </c>
      <c r="D239" s="152"/>
      <c r="E239" s="3">
        <v>0</v>
      </c>
      <c r="F239" s="70">
        <v>4612.8</v>
      </c>
      <c r="G239" s="3">
        <v>4333.1000000000004</v>
      </c>
      <c r="H239" s="70">
        <f t="shared" si="7"/>
        <v>4333.1000000000004</v>
      </c>
      <c r="I239" s="70">
        <f t="shared" si="6"/>
        <v>4333.1000000000004</v>
      </c>
      <c r="J239" s="35"/>
      <c r="K239" s="40"/>
      <c r="L239" s="36"/>
      <c r="M239" s="20"/>
    </row>
    <row r="240" spans="2:13" s="16" customFormat="1" ht="49.5" customHeight="1" x14ac:dyDescent="0.25">
      <c r="B240" s="151" t="s">
        <v>166</v>
      </c>
      <c r="C240" s="110" t="s">
        <v>123</v>
      </c>
      <c r="D240" s="152" t="s">
        <v>185</v>
      </c>
      <c r="E240" s="3">
        <v>0</v>
      </c>
      <c r="F240" s="70">
        <v>100</v>
      </c>
      <c r="G240" s="3">
        <v>121</v>
      </c>
      <c r="H240" s="74">
        <f t="shared" si="7"/>
        <v>121</v>
      </c>
      <c r="I240" s="74">
        <f t="shared" si="7"/>
        <v>121</v>
      </c>
      <c r="J240" s="35"/>
      <c r="K240" s="40"/>
      <c r="L240" s="36"/>
      <c r="M240" s="20"/>
    </row>
    <row r="241" spans="2:13" s="16" customFormat="1" ht="20.25" customHeight="1" x14ac:dyDescent="0.25">
      <c r="B241" s="151"/>
      <c r="C241" s="110" t="s">
        <v>95</v>
      </c>
      <c r="D241" s="152"/>
      <c r="E241" s="3">
        <v>0</v>
      </c>
      <c r="F241" s="70">
        <v>2842.9</v>
      </c>
      <c r="G241" s="3">
        <v>3851.6</v>
      </c>
      <c r="H241" s="70">
        <f t="shared" si="7"/>
        <v>3851.6</v>
      </c>
      <c r="I241" s="70">
        <f t="shared" si="7"/>
        <v>3851.6</v>
      </c>
      <c r="J241" s="35"/>
      <c r="K241" s="40"/>
      <c r="L241" s="36"/>
      <c r="M241" s="20"/>
    </row>
    <row r="242" spans="2:13" s="16" customFormat="1" ht="50.25" customHeight="1" x14ac:dyDescent="0.25">
      <c r="B242" s="151" t="s">
        <v>167</v>
      </c>
      <c r="C242" s="110" t="s">
        <v>123</v>
      </c>
      <c r="D242" s="152" t="s">
        <v>185</v>
      </c>
      <c r="E242" s="3">
        <v>0</v>
      </c>
      <c r="F242" s="70">
        <v>6</v>
      </c>
      <c r="G242" s="3">
        <v>11</v>
      </c>
      <c r="H242" s="74">
        <f t="shared" si="7"/>
        <v>11</v>
      </c>
      <c r="I242" s="74">
        <f t="shared" si="7"/>
        <v>11</v>
      </c>
      <c r="J242" s="35"/>
      <c r="K242" s="40"/>
      <c r="L242" s="36"/>
      <c r="M242" s="20"/>
    </row>
    <row r="243" spans="2:13" s="16" customFormat="1" ht="18.75" customHeight="1" x14ac:dyDescent="0.25">
      <c r="B243" s="151"/>
      <c r="C243" s="110" t="s">
        <v>95</v>
      </c>
      <c r="D243" s="152"/>
      <c r="E243" s="3">
        <v>0</v>
      </c>
      <c r="F243" s="70">
        <v>6492.1</v>
      </c>
      <c r="G243" s="3">
        <v>3972</v>
      </c>
      <c r="H243" s="70">
        <f t="shared" si="7"/>
        <v>3972</v>
      </c>
      <c r="I243" s="70">
        <f t="shared" si="7"/>
        <v>3972</v>
      </c>
      <c r="J243" s="35"/>
      <c r="K243" s="40"/>
      <c r="L243" s="36"/>
      <c r="M243" s="20"/>
    </row>
    <row r="244" spans="2:13" s="16" customFormat="1" ht="47.25" customHeight="1" x14ac:dyDescent="0.25">
      <c r="B244" s="151" t="s">
        <v>168</v>
      </c>
      <c r="C244" s="110" t="s">
        <v>123</v>
      </c>
      <c r="D244" s="152" t="s">
        <v>185</v>
      </c>
      <c r="E244" s="3">
        <v>0</v>
      </c>
      <c r="F244" s="70">
        <v>5</v>
      </c>
      <c r="G244" s="3">
        <v>15</v>
      </c>
      <c r="H244" s="74">
        <f t="shared" si="7"/>
        <v>15</v>
      </c>
      <c r="I244" s="74">
        <f t="shared" si="7"/>
        <v>15</v>
      </c>
      <c r="J244" s="35"/>
      <c r="K244" s="40"/>
      <c r="L244" s="36"/>
      <c r="M244" s="20"/>
    </row>
    <row r="245" spans="2:13" s="16" customFormat="1" ht="21" customHeight="1" x14ac:dyDescent="0.25">
      <c r="B245" s="151"/>
      <c r="C245" s="110" t="s">
        <v>95</v>
      </c>
      <c r="D245" s="152"/>
      <c r="E245" s="3">
        <v>0</v>
      </c>
      <c r="F245" s="70">
        <v>2272.1999999999998</v>
      </c>
      <c r="G245" s="3">
        <v>4092.4</v>
      </c>
      <c r="H245" s="70">
        <f t="shared" si="7"/>
        <v>4092.4</v>
      </c>
      <c r="I245" s="70">
        <f t="shared" si="7"/>
        <v>4092.4</v>
      </c>
      <c r="J245" s="35"/>
      <c r="K245" s="40"/>
      <c r="L245" s="36"/>
      <c r="M245" s="20"/>
    </row>
    <row r="246" spans="2:13" s="16" customFormat="1" ht="48.75" customHeight="1" x14ac:dyDescent="0.25">
      <c r="B246" s="151" t="s">
        <v>169</v>
      </c>
      <c r="C246" s="110" t="s">
        <v>123</v>
      </c>
      <c r="D246" s="152" t="s">
        <v>185</v>
      </c>
      <c r="E246" s="3">
        <v>0</v>
      </c>
      <c r="F246" s="70">
        <v>4</v>
      </c>
      <c r="G246" s="3">
        <v>0</v>
      </c>
      <c r="H246" s="74">
        <f t="shared" si="7"/>
        <v>0</v>
      </c>
      <c r="I246" s="74">
        <f t="shared" si="7"/>
        <v>0</v>
      </c>
      <c r="J246" s="35"/>
      <c r="K246" s="40"/>
      <c r="L246" s="36"/>
      <c r="M246" s="20"/>
    </row>
    <row r="247" spans="2:13" s="16" customFormat="1" ht="21" customHeight="1" x14ac:dyDescent="0.25">
      <c r="B247" s="151"/>
      <c r="C247" s="110" t="s">
        <v>95</v>
      </c>
      <c r="D247" s="152"/>
      <c r="E247" s="3">
        <v>0</v>
      </c>
      <c r="F247" s="70">
        <v>5637.9</v>
      </c>
      <c r="G247" s="3">
        <v>0</v>
      </c>
      <c r="H247" s="70">
        <f t="shared" si="7"/>
        <v>0</v>
      </c>
      <c r="I247" s="70">
        <f t="shared" si="7"/>
        <v>0</v>
      </c>
      <c r="J247" s="35"/>
      <c r="K247" s="40"/>
      <c r="L247" s="36"/>
      <c r="M247" s="20"/>
    </row>
    <row r="248" spans="2:13" s="16" customFormat="1" ht="35.25" customHeight="1" x14ac:dyDescent="0.25">
      <c r="B248" s="151" t="s">
        <v>170</v>
      </c>
      <c r="C248" s="110" t="s">
        <v>123</v>
      </c>
      <c r="D248" s="152" t="s">
        <v>185</v>
      </c>
      <c r="E248" s="3">
        <v>0</v>
      </c>
      <c r="F248" s="70">
        <v>26</v>
      </c>
      <c r="G248" s="3">
        <v>34</v>
      </c>
      <c r="H248" s="74">
        <f t="shared" si="7"/>
        <v>34</v>
      </c>
      <c r="I248" s="74">
        <f t="shared" si="7"/>
        <v>34</v>
      </c>
      <c r="J248" s="35"/>
      <c r="K248" s="40"/>
      <c r="L248" s="36"/>
      <c r="M248" s="20"/>
    </row>
    <row r="249" spans="2:13" s="16" customFormat="1" ht="30" customHeight="1" x14ac:dyDescent="0.25">
      <c r="B249" s="151"/>
      <c r="C249" s="110" t="s">
        <v>95</v>
      </c>
      <c r="D249" s="152"/>
      <c r="E249" s="3">
        <v>0</v>
      </c>
      <c r="F249" s="70">
        <v>3382.7</v>
      </c>
      <c r="G249" s="3">
        <v>6258.9</v>
      </c>
      <c r="H249" s="70">
        <f t="shared" si="7"/>
        <v>6258.9</v>
      </c>
      <c r="I249" s="70">
        <f t="shared" si="7"/>
        <v>6258.9</v>
      </c>
      <c r="J249" s="35"/>
      <c r="K249" s="40"/>
      <c r="L249" s="36"/>
      <c r="M249" s="20"/>
    </row>
    <row r="250" spans="2:13" s="16" customFormat="1" ht="49.5" customHeight="1" x14ac:dyDescent="0.25">
      <c r="B250" s="151" t="s">
        <v>171</v>
      </c>
      <c r="C250" s="110" t="s">
        <v>123</v>
      </c>
      <c r="D250" s="152" t="s">
        <v>185</v>
      </c>
      <c r="E250" s="3">
        <v>0</v>
      </c>
      <c r="F250" s="70">
        <v>14</v>
      </c>
      <c r="G250" s="3">
        <v>32</v>
      </c>
      <c r="H250" s="74">
        <f t="shared" si="7"/>
        <v>32</v>
      </c>
      <c r="I250" s="74">
        <f t="shared" si="7"/>
        <v>32</v>
      </c>
      <c r="J250" s="35"/>
      <c r="K250" s="40"/>
      <c r="L250" s="36"/>
      <c r="M250" s="20"/>
    </row>
    <row r="251" spans="2:13" s="16" customFormat="1" ht="24.75" customHeight="1" x14ac:dyDescent="0.25">
      <c r="B251" s="151"/>
      <c r="C251" s="110" t="s">
        <v>95</v>
      </c>
      <c r="D251" s="152"/>
      <c r="E251" s="3">
        <v>0</v>
      </c>
      <c r="F251" s="70">
        <v>2733.5</v>
      </c>
      <c r="G251" s="3">
        <v>5777.5</v>
      </c>
      <c r="H251" s="70">
        <f t="shared" si="7"/>
        <v>5777.5</v>
      </c>
      <c r="I251" s="70">
        <f t="shared" si="7"/>
        <v>5777.5</v>
      </c>
      <c r="J251" s="35"/>
      <c r="K251" s="40"/>
      <c r="L251" s="36"/>
      <c r="M251" s="20"/>
    </row>
    <row r="252" spans="2:13" s="16" customFormat="1" ht="50.25" customHeight="1" x14ac:dyDescent="0.25">
      <c r="B252" s="151" t="s">
        <v>172</v>
      </c>
      <c r="C252" s="110" t="s">
        <v>123</v>
      </c>
      <c r="D252" s="152" t="s">
        <v>185</v>
      </c>
      <c r="E252" s="3">
        <v>0</v>
      </c>
      <c r="F252" s="70">
        <v>7</v>
      </c>
      <c r="G252" s="3">
        <v>15</v>
      </c>
      <c r="H252" s="74">
        <f t="shared" si="7"/>
        <v>15</v>
      </c>
      <c r="I252" s="74">
        <f t="shared" si="7"/>
        <v>15</v>
      </c>
      <c r="J252" s="35"/>
      <c r="K252" s="40"/>
      <c r="L252" s="36"/>
      <c r="M252" s="20"/>
    </row>
    <row r="253" spans="2:13" s="16" customFormat="1" ht="20.25" customHeight="1" x14ac:dyDescent="0.25">
      <c r="B253" s="151"/>
      <c r="C253" s="110" t="s">
        <v>95</v>
      </c>
      <c r="D253" s="152"/>
      <c r="E253" s="3">
        <v>0</v>
      </c>
      <c r="F253" s="70">
        <v>4100.3</v>
      </c>
      <c r="G253" s="3">
        <v>5828.3</v>
      </c>
      <c r="H253" s="70">
        <f t="shared" si="7"/>
        <v>5828.3</v>
      </c>
      <c r="I253" s="70">
        <f t="shared" si="7"/>
        <v>5828.3</v>
      </c>
      <c r="J253" s="35"/>
      <c r="K253" s="40"/>
      <c r="L253" s="36"/>
      <c r="M253" s="20"/>
    </row>
    <row r="254" spans="2:13" s="16" customFormat="1" ht="48.75" customHeight="1" x14ac:dyDescent="0.25">
      <c r="B254" s="151" t="s">
        <v>173</v>
      </c>
      <c r="C254" s="110" t="s">
        <v>123</v>
      </c>
      <c r="D254" s="152" t="s">
        <v>185</v>
      </c>
      <c r="E254" s="3">
        <v>0</v>
      </c>
      <c r="F254" s="70">
        <v>47</v>
      </c>
      <c r="G254" s="3">
        <v>55</v>
      </c>
      <c r="H254" s="74">
        <f t="shared" si="7"/>
        <v>55</v>
      </c>
      <c r="I254" s="74">
        <f t="shared" si="7"/>
        <v>55</v>
      </c>
      <c r="J254" s="35"/>
      <c r="K254" s="40"/>
      <c r="L254" s="36"/>
      <c r="M254" s="20"/>
    </row>
    <row r="255" spans="2:13" s="16" customFormat="1" ht="23.25" customHeight="1" x14ac:dyDescent="0.25">
      <c r="B255" s="151"/>
      <c r="C255" s="110" t="s">
        <v>95</v>
      </c>
      <c r="D255" s="152"/>
      <c r="E255" s="3">
        <v>0</v>
      </c>
      <c r="F255" s="70">
        <v>3758.6</v>
      </c>
      <c r="G255" s="3">
        <v>5921.9</v>
      </c>
      <c r="H255" s="70">
        <f t="shared" si="7"/>
        <v>5921.9</v>
      </c>
      <c r="I255" s="70">
        <f t="shared" si="7"/>
        <v>5921.9</v>
      </c>
      <c r="J255" s="35"/>
      <c r="K255" s="40"/>
      <c r="L255" s="36"/>
      <c r="M255" s="20"/>
    </row>
    <row r="256" spans="2:13" s="16" customFormat="1" ht="27" customHeight="1" x14ac:dyDescent="0.25">
      <c r="B256" s="151" t="s">
        <v>174</v>
      </c>
      <c r="C256" s="110" t="s">
        <v>123</v>
      </c>
      <c r="D256" s="152" t="s">
        <v>185</v>
      </c>
      <c r="E256" s="3">
        <v>0</v>
      </c>
      <c r="F256" s="70">
        <v>7</v>
      </c>
      <c r="G256" s="3">
        <v>9</v>
      </c>
      <c r="H256" s="74">
        <f t="shared" si="7"/>
        <v>9</v>
      </c>
      <c r="I256" s="74">
        <f t="shared" si="7"/>
        <v>9</v>
      </c>
      <c r="J256" s="35"/>
      <c r="K256" s="40"/>
      <c r="L256" s="36"/>
      <c r="M256" s="20"/>
    </row>
    <row r="257" spans="2:13" s="16" customFormat="1" ht="44.25" customHeight="1" x14ac:dyDescent="0.25">
      <c r="B257" s="151"/>
      <c r="C257" s="110" t="s">
        <v>95</v>
      </c>
      <c r="D257" s="152"/>
      <c r="E257" s="3">
        <v>0</v>
      </c>
      <c r="F257" s="70">
        <v>3758.6</v>
      </c>
      <c r="G257" s="3">
        <v>5536.7</v>
      </c>
      <c r="H257" s="70">
        <f t="shared" si="7"/>
        <v>5536.7</v>
      </c>
      <c r="I257" s="70">
        <f t="shared" si="7"/>
        <v>5536.7</v>
      </c>
      <c r="J257" s="35"/>
      <c r="K257" s="14"/>
      <c r="L257" s="36"/>
      <c r="M257" s="20"/>
    </row>
    <row r="258" spans="2:13" s="16" customFormat="1" ht="40.5" customHeight="1" x14ac:dyDescent="0.25">
      <c r="B258" s="151" t="s">
        <v>170</v>
      </c>
      <c r="C258" s="110" t="s">
        <v>123</v>
      </c>
      <c r="D258" s="152" t="s">
        <v>185</v>
      </c>
      <c r="E258" s="3">
        <v>0</v>
      </c>
      <c r="F258" s="70">
        <v>19</v>
      </c>
      <c r="G258" s="3">
        <v>25</v>
      </c>
      <c r="H258" s="74">
        <f t="shared" si="7"/>
        <v>25</v>
      </c>
      <c r="I258" s="74">
        <f t="shared" si="7"/>
        <v>25</v>
      </c>
      <c r="J258" s="35"/>
      <c r="K258" s="40"/>
      <c r="L258" s="36"/>
      <c r="M258" s="20"/>
    </row>
    <row r="259" spans="2:13" s="16" customFormat="1" ht="30.75" customHeight="1" x14ac:dyDescent="0.25">
      <c r="B259" s="151"/>
      <c r="C259" s="110" t="s">
        <v>95</v>
      </c>
      <c r="D259" s="152"/>
      <c r="E259" s="3">
        <v>0</v>
      </c>
      <c r="F259" s="70">
        <v>7004.7</v>
      </c>
      <c r="G259" s="3">
        <v>8906.9</v>
      </c>
      <c r="H259" s="70">
        <f t="shared" si="7"/>
        <v>8906.9</v>
      </c>
      <c r="I259" s="70">
        <f t="shared" si="7"/>
        <v>8906.9</v>
      </c>
      <c r="J259" s="35"/>
      <c r="K259" s="40"/>
      <c r="L259" s="36"/>
      <c r="M259" s="20"/>
    </row>
    <row r="260" spans="2:13" s="16" customFormat="1" ht="45.75" customHeight="1" x14ac:dyDescent="0.25">
      <c r="B260" s="151" t="s">
        <v>175</v>
      </c>
      <c r="C260" s="110" t="s">
        <v>123</v>
      </c>
      <c r="D260" s="152" t="s">
        <v>185</v>
      </c>
      <c r="E260" s="3">
        <v>0</v>
      </c>
      <c r="F260" s="70">
        <v>14</v>
      </c>
      <c r="G260" s="3">
        <v>14</v>
      </c>
      <c r="H260" s="74">
        <f t="shared" si="7"/>
        <v>14</v>
      </c>
      <c r="I260" s="74">
        <f t="shared" si="7"/>
        <v>14</v>
      </c>
      <c r="J260" s="35"/>
      <c r="K260" s="41"/>
      <c r="L260" s="36"/>
      <c r="M260" s="20"/>
    </row>
    <row r="261" spans="2:13" s="16" customFormat="1" ht="24" customHeight="1" x14ac:dyDescent="0.25">
      <c r="B261" s="151"/>
      <c r="C261" s="110" t="s">
        <v>95</v>
      </c>
      <c r="D261" s="152"/>
      <c r="E261" s="3">
        <v>0</v>
      </c>
      <c r="F261" s="70">
        <v>1776.8</v>
      </c>
      <c r="G261" s="3">
        <v>5777.5</v>
      </c>
      <c r="H261" s="70">
        <f t="shared" si="7"/>
        <v>5777.5</v>
      </c>
      <c r="I261" s="70">
        <f t="shared" si="7"/>
        <v>5777.5</v>
      </c>
      <c r="J261" s="35"/>
      <c r="K261" s="41"/>
      <c r="L261" s="36"/>
      <c r="M261" s="20"/>
    </row>
    <row r="262" spans="2:13" s="16" customFormat="1" ht="37.5" customHeight="1" x14ac:dyDescent="0.25">
      <c r="B262" s="151" t="s">
        <v>176</v>
      </c>
      <c r="C262" s="110" t="s">
        <v>123</v>
      </c>
      <c r="D262" s="152" t="s">
        <v>185</v>
      </c>
      <c r="E262" s="3">
        <v>0</v>
      </c>
      <c r="F262" s="70">
        <v>3</v>
      </c>
      <c r="G262" s="3">
        <v>3</v>
      </c>
      <c r="H262" s="74">
        <f t="shared" si="7"/>
        <v>3</v>
      </c>
      <c r="I262" s="74">
        <f t="shared" si="7"/>
        <v>3</v>
      </c>
      <c r="J262" s="35"/>
      <c r="K262" s="41"/>
      <c r="L262" s="36"/>
      <c r="M262" s="20"/>
    </row>
    <row r="263" spans="2:13" s="16" customFormat="1" ht="30" customHeight="1" x14ac:dyDescent="0.25">
      <c r="B263" s="151"/>
      <c r="C263" s="110" t="s">
        <v>95</v>
      </c>
      <c r="D263" s="152"/>
      <c r="E263" s="3">
        <v>0</v>
      </c>
      <c r="F263" s="70">
        <v>2562.6999999999998</v>
      </c>
      <c r="G263" s="3">
        <v>6227.6</v>
      </c>
      <c r="H263" s="70">
        <f t="shared" si="7"/>
        <v>6227.6</v>
      </c>
      <c r="I263" s="70">
        <f t="shared" si="7"/>
        <v>6227.6</v>
      </c>
      <c r="J263" s="35"/>
      <c r="K263" s="41"/>
      <c r="L263" s="36"/>
      <c r="M263" s="20"/>
    </row>
    <row r="264" spans="2:13" s="16" customFormat="1" ht="15.75" x14ac:dyDescent="0.25">
      <c r="B264" s="126" t="s">
        <v>6</v>
      </c>
      <c r="C264" s="5"/>
      <c r="D264" s="127"/>
      <c r="E264" s="128"/>
      <c r="F264" s="128"/>
      <c r="G264" s="129"/>
      <c r="H264" s="3"/>
      <c r="I264" s="3"/>
      <c r="J264" s="35"/>
      <c r="K264" s="46"/>
      <c r="L264" s="36"/>
      <c r="M264" s="20"/>
    </row>
    <row r="265" spans="2:13" s="16" customFormat="1" ht="24.75" customHeight="1" x14ac:dyDescent="0.25">
      <c r="B265" s="153" t="s">
        <v>88</v>
      </c>
      <c r="C265" s="110" t="s">
        <v>123</v>
      </c>
      <c r="D265" s="152" t="s">
        <v>185</v>
      </c>
      <c r="E265" s="115">
        <f>22+219</f>
        <v>241</v>
      </c>
      <c r="F265" s="74">
        <v>25</v>
      </c>
      <c r="G265" s="115">
        <v>25</v>
      </c>
      <c r="H265" s="74">
        <f t="shared" ref="H265:I275" si="8">G265</f>
        <v>25</v>
      </c>
      <c r="I265" s="74">
        <f t="shared" si="8"/>
        <v>25</v>
      </c>
      <c r="J265" s="35"/>
      <c r="K265" s="42"/>
      <c r="L265" s="36"/>
      <c r="M265" s="20"/>
    </row>
    <row r="266" spans="2:13" s="16" customFormat="1" ht="17.25" customHeight="1" x14ac:dyDescent="0.25">
      <c r="B266" s="154"/>
      <c r="C266" s="110" t="s">
        <v>95</v>
      </c>
      <c r="D266" s="152"/>
      <c r="E266" s="3">
        <f>3206.8+6526.5</f>
        <v>9733.2999999999993</v>
      </c>
      <c r="F266" s="70">
        <v>5383.6</v>
      </c>
      <c r="G266" s="3">
        <v>10187.5</v>
      </c>
      <c r="H266" s="70">
        <f t="shared" si="8"/>
        <v>10187.5</v>
      </c>
      <c r="I266" s="70">
        <f t="shared" si="8"/>
        <v>10187.5</v>
      </c>
      <c r="J266" s="35"/>
      <c r="K266" s="42"/>
      <c r="L266" s="36"/>
      <c r="M266" s="20"/>
    </row>
    <row r="267" spans="2:13" s="16" customFormat="1" ht="25.5" customHeight="1" x14ac:dyDescent="0.2">
      <c r="B267" s="155" t="s">
        <v>177</v>
      </c>
      <c r="C267" s="71" t="s">
        <v>72</v>
      </c>
      <c r="D267" s="152" t="s">
        <v>185</v>
      </c>
      <c r="E267" s="115">
        <f>21+53</f>
        <v>74</v>
      </c>
      <c r="F267" s="74">
        <f>31+60</f>
        <v>91</v>
      </c>
      <c r="G267" s="115">
        <f>42+103</f>
        <v>145</v>
      </c>
      <c r="H267" s="74">
        <f t="shared" si="8"/>
        <v>145</v>
      </c>
      <c r="I267" s="74">
        <f t="shared" si="8"/>
        <v>145</v>
      </c>
      <c r="J267" s="35"/>
      <c r="K267" s="42"/>
      <c r="L267" s="36"/>
      <c r="M267" s="20"/>
    </row>
    <row r="268" spans="2:13" s="16" customFormat="1" ht="15.75" customHeight="1" x14ac:dyDescent="0.2">
      <c r="B268" s="156"/>
      <c r="C268" s="71" t="s">
        <v>95</v>
      </c>
      <c r="D268" s="152"/>
      <c r="E268" s="3">
        <f>2885.6+4288.9</f>
        <v>7174.5</v>
      </c>
      <c r="F268" s="70">
        <f>3014.8+7004.7</f>
        <v>10019.5</v>
      </c>
      <c r="G268" s="3">
        <f>11726.4+10351.3</f>
        <v>22077.699999999997</v>
      </c>
      <c r="H268" s="70">
        <f t="shared" si="8"/>
        <v>22077.699999999997</v>
      </c>
      <c r="I268" s="70">
        <f t="shared" si="8"/>
        <v>22077.699999999997</v>
      </c>
      <c r="J268" s="35"/>
      <c r="K268" s="42"/>
      <c r="L268" s="36"/>
      <c r="M268" s="20"/>
    </row>
    <row r="269" spans="2:13" s="16" customFormat="1" ht="30.75" customHeight="1" x14ac:dyDescent="0.2">
      <c r="B269" s="155" t="s">
        <v>178</v>
      </c>
      <c r="C269" s="71" t="s">
        <v>72</v>
      </c>
      <c r="D269" s="152" t="s">
        <v>185</v>
      </c>
      <c r="E269" s="115">
        <f>12+12</f>
        <v>24</v>
      </c>
      <c r="F269" s="74">
        <f>19+12</f>
        <v>31</v>
      </c>
      <c r="G269" s="115">
        <f>4+26</f>
        <v>30</v>
      </c>
      <c r="H269" s="74">
        <f t="shared" si="8"/>
        <v>30</v>
      </c>
      <c r="I269" s="74">
        <f t="shared" si="8"/>
        <v>30</v>
      </c>
      <c r="J269" s="35"/>
      <c r="K269" s="42"/>
      <c r="L269" s="36"/>
      <c r="M269" s="20"/>
    </row>
    <row r="270" spans="2:13" s="16" customFormat="1" ht="15.75" customHeight="1" x14ac:dyDescent="0.2">
      <c r="B270" s="156"/>
      <c r="C270" s="71" t="s">
        <v>95</v>
      </c>
      <c r="D270" s="152"/>
      <c r="E270" s="3">
        <f>2679.5+4475.3</f>
        <v>7154.8</v>
      </c>
      <c r="F270" s="70">
        <f>2153.5+5580.7</f>
        <v>7734.2</v>
      </c>
      <c r="G270" s="3">
        <f>2619.6+7863.5</f>
        <v>10483.1</v>
      </c>
      <c r="H270" s="70">
        <f t="shared" si="8"/>
        <v>10483.1</v>
      </c>
      <c r="I270" s="70">
        <f t="shared" si="8"/>
        <v>10483.1</v>
      </c>
      <c r="J270" s="35"/>
      <c r="K270" s="42"/>
      <c r="L270" s="36"/>
      <c r="M270" s="20"/>
    </row>
    <row r="271" spans="2:13" s="16" customFormat="1" ht="30.75" customHeight="1" x14ac:dyDescent="0.2">
      <c r="B271" s="155" t="s">
        <v>179</v>
      </c>
      <c r="C271" s="71" t="s">
        <v>72</v>
      </c>
      <c r="D271" s="152" t="s">
        <v>185</v>
      </c>
      <c r="E271" s="115">
        <f>18+29</f>
        <v>47</v>
      </c>
      <c r="F271" s="74">
        <f>18+29</f>
        <v>47</v>
      </c>
      <c r="G271" s="115">
        <f>17+28</f>
        <v>45</v>
      </c>
      <c r="H271" s="74">
        <f t="shared" si="8"/>
        <v>45</v>
      </c>
      <c r="I271" s="74">
        <f t="shared" si="8"/>
        <v>45</v>
      </c>
      <c r="J271" s="35"/>
      <c r="K271" s="42"/>
      <c r="L271" s="36"/>
      <c r="M271" s="20"/>
    </row>
    <row r="272" spans="2:13" s="16" customFormat="1" ht="18.75" customHeight="1" x14ac:dyDescent="0.2">
      <c r="B272" s="156"/>
      <c r="C272" s="71" t="s">
        <v>95</v>
      </c>
      <c r="D272" s="152"/>
      <c r="E272" s="3">
        <f>3710.1+4288.8</f>
        <v>7998.9</v>
      </c>
      <c r="F272" s="70">
        <f>3445.5+4276.4</f>
        <v>7721.9</v>
      </c>
      <c r="G272" s="3">
        <f>10625+6025.7</f>
        <v>16650.7</v>
      </c>
      <c r="H272" s="70">
        <f t="shared" si="8"/>
        <v>16650.7</v>
      </c>
      <c r="I272" s="70">
        <f t="shared" si="8"/>
        <v>16650.7</v>
      </c>
      <c r="J272" s="35"/>
      <c r="K272" s="42"/>
      <c r="L272" s="36"/>
      <c r="M272" s="20"/>
    </row>
    <row r="273" spans="2:12" s="16" customFormat="1" ht="19.5" customHeight="1" x14ac:dyDescent="0.2">
      <c r="B273" s="155" t="s">
        <v>75</v>
      </c>
      <c r="C273" s="71" t="s">
        <v>183</v>
      </c>
      <c r="D273" s="162" t="s">
        <v>185</v>
      </c>
      <c r="E273" s="115">
        <f>2+6</f>
        <v>8</v>
      </c>
      <c r="F273" s="74">
        <v>2</v>
      </c>
      <c r="G273" s="115">
        <v>2</v>
      </c>
      <c r="H273" s="74">
        <f t="shared" si="8"/>
        <v>2</v>
      </c>
      <c r="I273" s="74">
        <f t="shared" si="8"/>
        <v>2</v>
      </c>
      <c r="J273" s="35"/>
      <c r="K273" s="42"/>
      <c r="L273" s="35"/>
    </row>
    <row r="274" spans="2:12" s="16" customFormat="1" ht="17.25" customHeight="1" x14ac:dyDescent="0.2">
      <c r="B274" s="161"/>
      <c r="C274" s="71" t="s">
        <v>95</v>
      </c>
      <c r="D274" s="163"/>
      <c r="E274" s="3">
        <f>412.2+3654.8</f>
        <v>4067</v>
      </c>
      <c r="F274" s="70">
        <v>430.7</v>
      </c>
      <c r="G274" s="3">
        <v>145.6</v>
      </c>
      <c r="H274" s="70">
        <v>145.6</v>
      </c>
      <c r="I274" s="70">
        <v>145.6</v>
      </c>
      <c r="J274" s="35"/>
      <c r="K274" s="42"/>
      <c r="L274" s="35"/>
    </row>
    <row r="275" spans="2:12" s="16" customFormat="1" ht="18" customHeight="1" x14ac:dyDescent="0.2">
      <c r="B275" s="161"/>
      <c r="C275" s="71" t="s">
        <v>141</v>
      </c>
      <c r="D275" s="163"/>
      <c r="E275" s="115">
        <v>6</v>
      </c>
      <c r="F275" s="74">
        <v>0</v>
      </c>
      <c r="G275" s="115">
        <v>0</v>
      </c>
      <c r="H275" s="74">
        <f t="shared" si="8"/>
        <v>0</v>
      </c>
      <c r="I275" s="74">
        <f t="shared" si="8"/>
        <v>0</v>
      </c>
      <c r="J275" s="35"/>
      <c r="K275" s="43"/>
      <c r="L275" s="35"/>
    </row>
    <row r="276" spans="2:12" s="16" customFormat="1" ht="14.25" customHeight="1" x14ac:dyDescent="0.2">
      <c r="B276" s="156"/>
      <c r="C276" s="71" t="s">
        <v>95</v>
      </c>
      <c r="D276" s="164"/>
      <c r="E276" s="3">
        <v>11561.3</v>
      </c>
      <c r="F276" s="70">
        <v>0</v>
      </c>
      <c r="G276" s="3">
        <v>0</v>
      </c>
      <c r="H276" s="70">
        <v>0</v>
      </c>
      <c r="I276" s="70">
        <v>0</v>
      </c>
      <c r="J276" s="35"/>
      <c r="K276" s="43"/>
      <c r="L276" s="35"/>
    </row>
    <row r="277" spans="2:12" s="16" customFormat="1" ht="31.5" customHeight="1" x14ac:dyDescent="0.2">
      <c r="B277" s="155" t="s">
        <v>180</v>
      </c>
      <c r="C277" s="71" t="s">
        <v>142</v>
      </c>
      <c r="D277" s="162" t="s">
        <v>185</v>
      </c>
      <c r="E277" s="115">
        <v>167</v>
      </c>
      <c r="F277" s="74">
        <v>167</v>
      </c>
      <c r="G277" s="115">
        <v>167</v>
      </c>
      <c r="H277" s="74">
        <f t="shared" ref="H277:I294" si="9">G277</f>
        <v>167</v>
      </c>
      <c r="I277" s="74">
        <f t="shared" si="9"/>
        <v>167</v>
      </c>
      <c r="J277" s="35"/>
      <c r="K277" s="44"/>
      <c r="L277" s="35"/>
    </row>
    <row r="278" spans="2:12" s="16" customFormat="1" ht="18.75" customHeight="1" x14ac:dyDescent="0.2">
      <c r="B278" s="161"/>
      <c r="C278" s="130" t="s">
        <v>95</v>
      </c>
      <c r="D278" s="163"/>
      <c r="E278" s="121">
        <v>3692.1</v>
      </c>
      <c r="F278" s="112">
        <v>2733.5</v>
      </c>
      <c r="G278" s="121">
        <v>6258.9</v>
      </c>
      <c r="H278" s="112">
        <f t="shared" si="9"/>
        <v>6258.9</v>
      </c>
      <c r="I278" s="112">
        <f t="shared" si="9"/>
        <v>6258.9</v>
      </c>
      <c r="J278" s="35"/>
      <c r="K278" s="42"/>
      <c r="L278" s="35"/>
    </row>
    <row r="279" spans="2:12" s="16" customFormat="1" ht="18" customHeight="1" x14ac:dyDescent="0.2">
      <c r="B279" s="161"/>
      <c r="C279" s="71" t="s">
        <v>73</v>
      </c>
      <c r="D279" s="163"/>
      <c r="E279" s="115">
        <f>4200+17034</f>
        <v>21234</v>
      </c>
      <c r="F279" s="74">
        <f>3612+17034</f>
        <v>20646</v>
      </c>
      <c r="G279" s="115">
        <f>6240+17034</f>
        <v>23274</v>
      </c>
      <c r="H279" s="74">
        <f t="shared" si="9"/>
        <v>23274</v>
      </c>
      <c r="I279" s="74">
        <f t="shared" si="9"/>
        <v>23274</v>
      </c>
      <c r="J279" s="35"/>
      <c r="K279" s="44"/>
      <c r="L279" s="35"/>
    </row>
    <row r="280" spans="2:12" s="16" customFormat="1" ht="21" customHeight="1" x14ac:dyDescent="0.2">
      <c r="B280" s="156"/>
      <c r="C280" s="71" t="s">
        <v>95</v>
      </c>
      <c r="D280" s="164"/>
      <c r="E280" s="3">
        <f>4534.5+4102.4</f>
        <v>8636.9</v>
      </c>
      <c r="F280" s="70">
        <f>19690.6+7260.9</f>
        <v>26951.5</v>
      </c>
      <c r="G280" s="3">
        <f>7857.2+10230.9</f>
        <v>18088.099999999999</v>
      </c>
      <c r="H280" s="70">
        <f t="shared" si="9"/>
        <v>18088.099999999999</v>
      </c>
      <c r="I280" s="70">
        <f t="shared" si="9"/>
        <v>18088.099999999999</v>
      </c>
      <c r="J280" s="35"/>
      <c r="K280" s="44"/>
      <c r="L280" s="35"/>
    </row>
    <row r="281" spans="2:12" s="16" customFormat="1" ht="27.75" customHeight="1" x14ac:dyDescent="0.2">
      <c r="B281" s="155" t="s">
        <v>89</v>
      </c>
      <c r="C281" s="71" t="s">
        <v>183</v>
      </c>
      <c r="D281" s="152" t="s">
        <v>185</v>
      </c>
      <c r="E281" s="115">
        <f>2+11</f>
        <v>13</v>
      </c>
      <c r="F281" s="74">
        <v>4</v>
      </c>
      <c r="G281" s="115">
        <v>10</v>
      </c>
      <c r="H281" s="74">
        <f t="shared" si="9"/>
        <v>10</v>
      </c>
      <c r="I281" s="74">
        <f t="shared" si="9"/>
        <v>10</v>
      </c>
      <c r="J281" s="35"/>
      <c r="K281" s="44"/>
      <c r="L281" s="35"/>
    </row>
    <row r="282" spans="2:12" s="16" customFormat="1" ht="21.75" customHeight="1" x14ac:dyDescent="0.2">
      <c r="B282" s="156"/>
      <c r="C282" s="71" t="s">
        <v>95</v>
      </c>
      <c r="D282" s="152"/>
      <c r="E282" s="3">
        <v>5650.7</v>
      </c>
      <c r="F282" s="70">
        <v>861.3</v>
      </c>
      <c r="G282" s="3">
        <v>4366</v>
      </c>
      <c r="H282" s="70">
        <v>4366</v>
      </c>
      <c r="I282" s="70">
        <f t="shared" si="9"/>
        <v>4366</v>
      </c>
      <c r="J282" s="35"/>
      <c r="K282" s="44"/>
      <c r="L282" s="35"/>
    </row>
    <row r="283" spans="2:12" s="16" customFormat="1" ht="18" customHeight="1" x14ac:dyDescent="0.2">
      <c r="B283" s="155" t="s">
        <v>181</v>
      </c>
      <c r="C283" s="71" t="s">
        <v>72</v>
      </c>
      <c r="D283" s="152" t="s">
        <v>185</v>
      </c>
      <c r="E283" s="115">
        <v>906</v>
      </c>
      <c r="F283" s="74">
        <v>0</v>
      </c>
      <c r="G283" s="115">
        <v>0</v>
      </c>
      <c r="H283" s="74">
        <f t="shared" si="9"/>
        <v>0</v>
      </c>
      <c r="I283" s="74">
        <f t="shared" si="9"/>
        <v>0</v>
      </c>
      <c r="J283" s="35"/>
      <c r="K283" s="42"/>
      <c r="L283" s="35"/>
    </row>
    <row r="284" spans="2:12" s="16" customFormat="1" ht="21" customHeight="1" x14ac:dyDescent="0.2">
      <c r="B284" s="156"/>
      <c r="C284" s="71" t="s">
        <v>95</v>
      </c>
      <c r="D284" s="152"/>
      <c r="E284" s="3">
        <v>203.5</v>
      </c>
      <c r="F284" s="70">
        <v>0</v>
      </c>
      <c r="G284" s="3">
        <v>0</v>
      </c>
      <c r="H284" s="70">
        <f t="shared" si="9"/>
        <v>0</v>
      </c>
      <c r="I284" s="70">
        <f t="shared" si="9"/>
        <v>0</v>
      </c>
      <c r="J284" s="35"/>
      <c r="K284" s="42"/>
      <c r="L284" s="35"/>
    </row>
    <row r="285" spans="2:12" s="16" customFormat="1" ht="38.25" customHeight="1" x14ac:dyDescent="0.2">
      <c r="B285" s="155" t="s">
        <v>90</v>
      </c>
      <c r="C285" s="71" t="s">
        <v>143</v>
      </c>
      <c r="D285" s="152" t="s">
        <v>185</v>
      </c>
      <c r="E285" s="115">
        <v>36</v>
      </c>
      <c r="F285" s="74">
        <v>36</v>
      </c>
      <c r="G285" s="115">
        <v>36</v>
      </c>
      <c r="H285" s="74">
        <f t="shared" si="9"/>
        <v>36</v>
      </c>
      <c r="I285" s="74">
        <f t="shared" si="9"/>
        <v>36</v>
      </c>
      <c r="J285" s="35"/>
      <c r="K285" s="43"/>
      <c r="L285" s="35"/>
    </row>
    <row r="286" spans="2:12" s="16" customFormat="1" ht="21.75" customHeight="1" x14ac:dyDescent="0.2">
      <c r="B286" s="156"/>
      <c r="C286" s="130" t="s">
        <v>95</v>
      </c>
      <c r="D286" s="152"/>
      <c r="E286" s="121">
        <v>9789.2000000000007</v>
      </c>
      <c r="F286" s="112">
        <v>5296.2</v>
      </c>
      <c r="G286" s="121">
        <v>3683.1</v>
      </c>
      <c r="H286" s="112">
        <f t="shared" si="9"/>
        <v>3683.1</v>
      </c>
      <c r="I286" s="112">
        <f t="shared" si="9"/>
        <v>3683.1</v>
      </c>
      <c r="J286" s="35"/>
      <c r="K286" s="43"/>
      <c r="L286" s="35"/>
    </row>
    <row r="287" spans="2:12" s="16" customFormat="1" ht="30" customHeight="1" x14ac:dyDescent="0.2">
      <c r="B287" s="155" t="s">
        <v>88</v>
      </c>
      <c r="C287" s="71" t="s">
        <v>144</v>
      </c>
      <c r="D287" s="152" t="s">
        <v>185</v>
      </c>
      <c r="E287" s="3">
        <v>0</v>
      </c>
      <c r="F287" s="70">
        <f>243+219</f>
        <v>462</v>
      </c>
      <c r="G287" s="3">
        <v>219</v>
      </c>
      <c r="H287" s="74">
        <f t="shared" si="9"/>
        <v>219</v>
      </c>
      <c r="I287" s="74">
        <f t="shared" si="9"/>
        <v>219</v>
      </c>
      <c r="J287" s="35"/>
      <c r="K287" s="43"/>
      <c r="L287" s="35"/>
    </row>
    <row r="288" spans="2:12" s="16" customFormat="1" ht="22.5" customHeight="1" x14ac:dyDescent="0.2">
      <c r="B288" s="156"/>
      <c r="C288" s="71" t="s">
        <v>95</v>
      </c>
      <c r="D288" s="152"/>
      <c r="E288" s="3">
        <v>0</v>
      </c>
      <c r="F288" s="70">
        <f>6622.1+9567.4</f>
        <v>16189.5</v>
      </c>
      <c r="G288" s="3">
        <v>7703.3</v>
      </c>
      <c r="H288" s="70">
        <f t="shared" si="9"/>
        <v>7703.3</v>
      </c>
      <c r="I288" s="70">
        <f t="shared" si="9"/>
        <v>7703.3</v>
      </c>
      <c r="J288" s="35"/>
      <c r="K288" s="42"/>
      <c r="L288" s="35"/>
    </row>
    <row r="289" spans="2:12" s="16" customFormat="1" ht="21.75" customHeight="1" x14ac:dyDescent="0.2">
      <c r="B289" s="155" t="s">
        <v>48</v>
      </c>
      <c r="C289" s="71" t="s">
        <v>72</v>
      </c>
      <c r="D289" s="162" t="s">
        <v>185</v>
      </c>
      <c r="E289" s="115">
        <v>0</v>
      </c>
      <c r="F289" s="74">
        <v>6</v>
      </c>
      <c r="G289" s="115">
        <v>10</v>
      </c>
      <c r="H289" s="74">
        <f t="shared" si="9"/>
        <v>10</v>
      </c>
      <c r="I289" s="74">
        <f t="shared" si="9"/>
        <v>10</v>
      </c>
      <c r="J289" s="35"/>
      <c r="K289" s="43"/>
      <c r="L289" s="35"/>
    </row>
    <row r="290" spans="2:12" s="16" customFormat="1" ht="21.75" customHeight="1" x14ac:dyDescent="0.2">
      <c r="B290" s="161"/>
      <c r="C290" s="71" t="s">
        <v>95</v>
      </c>
      <c r="D290" s="163"/>
      <c r="E290" s="3">
        <v>0</v>
      </c>
      <c r="F290" s="70">
        <v>4578.7</v>
      </c>
      <c r="G290" s="3">
        <v>6692.2</v>
      </c>
      <c r="H290" s="70">
        <f t="shared" si="9"/>
        <v>6692.2</v>
      </c>
      <c r="I290" s="70">
        <f t="shared" si="9"/>
        <v>6692.2</v>
      </c>
      <c r="J290" s="35"/>
      <c r="K290" s="43"/>
      <c r="L290" s="35"/>
    </row>
    <row r="291" spans="2:12" s="28" customFormat="1" ht="26.25" customHeight="1" x14ac:dyDescent="0.2">
      <c r="B291" s="161"/>
      <c r="C291" s="71" t="s">
        <v>145</v>
      </c>
      <c r="D291" s="163"/>
      <c r="E291" s="115">
        <v>0</v>
      </c>
      <c r="F291" s="74">
        <v>6</v>
      </c>
      <c r="G291" s="115">
        <v>10</v>
      </c>
      <c r="H291" s="74">
        <f t="shared" si="9"/>
        <v>10</v>
      </c>
      <c r="I291" s="74">
        <f t="shared" si="9"/>
        <v>10</v>
      </c>
      <c r="J291" s="45"/>
      <c r="K291" s="43"/>
      <c r="L291" s="45"/>
    </row>
    <row r="292" spans="2:12" s="28" customFormat="1" ht="20.25" customHeight="1" x14ac:dyDescent="0.2">
      <c r="B292" s="156"/>
      <c r="C292" s="71" t="s">
        <v>95</v>
      </c>
      <c r="D292" s="164"/>
      <c r="E292" s="3">
        <v>0</v>
      </c>
      <c r="F292" s="70">
        <v>6321.3</v>
      </c>
      <c r="G292" s="3">
        <v>8906.9</v>
      </c>
      <c r="H292" s="70">
        <f t="shared" si="9"/>
        <v>8906.9</v>
      </c>
      <c r="I292" s="70">
        <f t="shared" si="9"/>
        <v>8906.9</v>
      </c>
      <c r="J292" s="45"/>
      <c r="K292" s="43"/>
      <c r="L292" s="45"/>
    </row>
    <row r="293" spans="2:12" s="16" customFormat="1" ht="26.25" customHeight="1" x14ac:dyDescent="0.2">
      <c r="B293" s="155" t="s">
        <v>89</v>
      </c>
      <c r="C293" s="71" t="s">
        <v>72</v>
      </c>
      <c r="D293" s="152" t="s">
        <v>185</v>
      </c>
      <c r="E293" s="115">
        <v>0</v>
      </c>
      <c r="F293" s="74">
        <v>12</v>
      </c>
      <c r="G293" s="115">
        <v>21</v>
      </c>
      <c r="H293" s="74">
        <f t="shared" si="9"/>
        <v>21</v>
      </c>
      <c r="I293" s="74">
        <f t="shared" si="9"/>
        <v>21</v>
      </c>
      <c r="J293" s="35"/>
      <c r="K293" s="43"/>
      <c r="L293" s="35"/>
    </row>
    <row r="294" spans="2:12" s="16" customFormat="1" ht="24" customHeight="1" x14ac:dyDescent="0.2">
      <c r="B294" s="156"/>
      <c r="C294" s="71" t="s">
        <v>95</v>
      </c>
      <c r="D294" s="152"/>
      <c r="E294" s="115">
        <v>0</v>
      </c>
      <c r="F294" s="70">
        <v>8971.1</v>
      </c>
      <c r="G294" s="3">
        <v>13122.1</v>
      </c>
      <c r="H294" s="70">
        <f t="shared" si="9"/>
        <v>13122.1</v>
      </c>
      <c r="I294" s="70">
        <f t="shared" si="9"/>
        <v>13122.1</v>
      </c>
      <c r="J294" s="35"/>
      <c r="K294" s="43"/>
      <c r="L294" s="35"/>
    </row>
    <row r="295" spans="2:12" s="16" customFormat="1" ht="20.25" customHeight="1" x14ac:dyDescent="0.2">
      <c r="B295" s="155" t="s">
        <v>182</v>
      </c>
      <c r="C295" s="71" t="s">
        <v>72</v>
      </c>
      <c r="D295" s="152" t="s">
        <v>185</v>
      </c>
      <c r="E295" s="115">
        <v>0</v>
      </c>
      <c r="F295" s="74">
        <v>260</v>
      </c>
      <c r="G295" s="115">
        <v>270</v>
      </c>
      <c r="H295" s="74">
        <v>280</v>
      </c>
      <c r="I295" s="74">
        <f>H295</f>
        <v>280</v>
      </c>
      <c r="J295" s="35"/>
      <c r="K295" s="43"/>
      <c r="L295" s="35"/>
    </row>
    <row r="296" spans="2:12" s="16" customFormat="1" ht="22.5" customHeight="1" x14ac:dyDescent="0.2">
      <c r="B296" s="156"/>
      <c r="C296" s="71" t="s">
        <v>95</v>
      </c>
      <c r="D296" s="152"/>
      <c r="E296" s="3">
        <v>0</v>
      </c>
      <c r="F296" s="70">
        <v>1457.9</v>
      </c>
      <c r="G296" s="3">
        <f>3570.7-0.1</f>
        <v>3570.6</v>
      </c>
      <c r="H296" s="70">
        <f>G296</f>
        <v>3570.6</v>
      </c>
      <c r="I296" s="70">
        <f>H296</f>
        <v>3570.6</v>
      </c>
      <c r="J296" s="35"/>
      <c r="K296" s="44"/>
      <c r="L296" s="35"/>
    </row>
    <row r="297" spans="2:12" s="16" customFormat="1" ht="26.25" customHeight="1" x14ac:dyDescent="0.25">
      <c r="B297" s="165" t="s">
        <v>46</v>
      </c>
      <c r="C297" s="103" t="s">
        <v>62</v>
      </c>
      <c r="D297" s="152" t="s">
        <v>185</v>
      </c>
      <c r="E297" s="123">
        <v>10</v>
      </c>
      <c r="F297" s="123">
        <v>3</v>
      </c>
      <c r="G297" s="123">
        <v>1</v>
      </c>
      <c r="H297" s="123">
        <v>1</v>
      </c>
      <c r="I297" s="123">
        <v>1</v>
      </c>
      <c r="J297" s="35"/>
      <c r="K297" s="42"/>
      <c r="L297" s="35"/>
    </row>
    <row r="298" spans="2:12" s="16" customFormat="1" ht="25.5" customHeight="1" x14ac:dyDescent="0.25">
      <c r="B298" s="166"/>
      <c r="C298" s="103" t="s">
        <v>95</v>
      </c>
      <c r="D298" s="152"/>
      <c r="E298" s="124">
        <v>2061.1</v>
      </c>
      <c r="F298" s="124">
        <v>646</v>
      </c>
      <c r="G298" s="124">
        <v>727.7</v>
      </c>
      <c r="H298" s="124">
        <v>727.7</v>
      </c>
      <c r="I298" s="124">
        <v>727.7</v>
      </c>
      <c r="J298" s="35"/>
      <c r="K298" s="42"/>
      <c r="L298" s="35"/>
    </row>
    <row r="299" spans="2:12" s="16" customFormat="1" ht="27" customHeight="1" x14ac:dyDescent="0.25">
      <c r="B299" s="157" t="s">
        <v>47</v>
      </c>
      <c r="C299" s="103" t="s">
        <v>62</v>
      </c>
      <c r="D299" s="159" t="s">
        <v>186</v>
      </c>
      <c r="E299" s="125">
        <v>18</v>
      </c>
      <c r="F299" s="125">
        <v>17</v>
      </c>
      <c r="G299" s="125">
        <v>17</v>
      </c>
      <c r="H299" s="125">
        <v>17</v>
      </c>
      <c r="I299" s="125">
        <v>17</v>
      </c>
      <c r="J299" s="35"/>
      <c r="K299" s="42"/>
      <c r="L299" s="35"/>
    </row>
    <row r="300" spans="2:12" s="16" customFormat="1" ht="22.5" customHeight="1" x14ac:dyDescent="0.25">
      <c r="B300" s="158"/>
      <c r="C300" s="100" t="s">
        <v>95</v>
      </c>
      <c r="D300" s="160"/>
      <c r="E300" s="121">
        <v>2885.6</v>
      </c>
      <c r="F300" s="121">
        <v>5495</v>
      </c>
      <c r="G300" s="121">
        <v>5239.3999999999996</v>
      </c>
      <c r="H300" s="121">
        <v>5239.3999999999996</v>
      </c>
      <c r="I300" s="121">
        <v>5239.3999999999996</v>
      </c>
      <c r="J300" s="35"/>
      <c r="K300" s="42"/>
      <c r="L300" s="35"/>
    </row>
    <row r="301" spans="2:12" s="16" customFormat="1" ht="20.25" customHeight="1" x14ac:dyDescent="0.25">
      <c r="B301" s="209" t="s">
        <v>146</v>
      </c>
      <c r="C301" s="103" t="s">
        <v>62</v>
      </c>
      <c r="D301" s="159" t="s">
        <v>186</v>
      </c>
      <c r="E301" s="125">
        <v>0</v>
      </c>
      <c r="F301" s="125">
        <v>0</v>
      </c>
      <c r="G301" s="125">
        <v>2</v>
      </c>
      <c r="H301" s="125">
        <v>2</v>
      </c>
      <c r="I301" s="125">
        <v>2</v>
      </c>
      <c r="J301" s="35"/>
      <c r="K301" s="42"/>
      <c r="L301" s="35"/>
    </row>
    <row r="302" spans="2:12" s="16" customFormat="1" ht="18.75" customHeight="1" x14ac:dyDescent="0.25">
      <c r="B302" s="210"/>
      <c r="C302" s="103" t="s">
        <v>95</v>
      </c>
      <c r="D302" s="160"/>
      <c r="E302" s="112">
        <v>0</v>
      </c>
      <c r="F302" s="121">
        <v>2402.6</v>
      </c>
      <c r="G302" s="121">
        <v>727.6</v>
      </c>
      <c r="H302" s="121">
        <v>727.6</v>
      </c>
      <c r="I302" s="121">
        <v>727.6</v>
      </c>
      <c r="J302" s="35"/>
      <c r="K302" s="42"/>
      <c r="L302" s="35"/>
    </row>
    <row r="303" spans="2:12" s="16" customFormat="1" ht="22.5" customHeight="1" x14ac:dyDescent="0.25">
      <c r="B303" s="157" t="s">
        <v>49</v>
      </c>
      <c r="C303" s="103" t="s">
        <v>62</v>
      </c>
      <c r="D303" s="159" t="s">
        <v>186</v>
      </c>
      <c r="E303" s="125">
        <v>7</v>
      </c>
      <c r="F303" s="125">
        <v>8</v>
      </c>
      <c r="G303" s="125">
        <v>8</v>
      </c>
      <c r="H303" s="125">
        <v>8</v>
      </c>
      <c r="I303" s="125">
        <v>8</v>
      </c>
      <c r="J303" s="35"/>
      <c r="K303" s="42"/>
      <c r="L303" s="35"/>
    </row>
    <row r="304" spans="2:12" s="16" customFormat="1" ht="22.5" customHeight="1" x14ac:dyDescent="0.25">
      <c r="B304" s="158"/>
      <c r="C304" s="100" t="s">
        <v>95</v>
      </c>
      <c r="D304" s="160"/>
      <c r="E304" s="121">
        <v>1648.9</v>
      </c>
      <c r="F304" s="121">
        <v>1831.6</v>
      </c>
      <c r="G304" s="121">
        <v>5093.6000000000004</v>
      </c>
      <c r="H304" s="121">
        <v>5093.6000000000004</v>
      </c>
      <c r="I304" s="121">
        <v>5093.6000000000004</v>
      </c>
      <c r="J304" s="35"/>
      <c r="K304" s="42"/>
      <c r="L304" s="35"/>
    </row>
    <row r="305" spans="1:12" s="16" customFormat="1" ht="21" customHeight="1" x14ac:dyDescent="0.25">
      <c r="B305" s="157" t="s">
        <v>50</v>
      </c>
      <c r="C305" s="103" t="s">
        <v>62</v>
      </c>
      <c r="D305" s="159" t="s">
        <v>186</v>
      </c>
      <c r="E305" s="125">
        <v>20</v>
      </c>
      <c r="F305" s="125">
        <v>21</v>
      </c>
      <c r="G305" s="125">
        <v>21</v>
      </c>
      <c r="H305" s="125">
        <v>21</v>
      </c>
      <c r="I305" s="125">
        <v>21</v>
      </c>
      <c r="J305" s="35"/>
      <c r="K305" s="42"/>
      <c r="L305" s="35"/>
    </row>
    <row r="306" spans="1:12" s="16" customFormat="1" ht="23.25" customHeight="1" x14ac:dyDescent="0.25">
      <c r="B306" s="158"/>
      <c r="C306" s="100" t="s">
        <v>95</v>
      </c>
      <c r="D306" s="160"/>
      <c r="E306" s="121">
        <v>3499</v>
      </c>
      <c r="F306" s="121">
        <v>2747.5</v>
      </c>
      <c r="G306" s="121">
        <v>4510.8</v>
      </c>
      <c r="H306" s="121">
        <v>4510.8</v>
      </c>
      <c r="I306" s="121">
        <v>4510.8</v>
      </c>
      <c r="J306" s="35"/>
      <c r="K306" s="42"/>
      <c r="L306" s="35"/>
    </row>
    <row r="307" spans="1:12" s="16" customFormat="1" ht="30.75" customHeight="1" x14ac:dyDescent="0.25">
      <c r="B307" s="209" t="s">
        <v>59</v>
      </c>
      <c r="C307" s="103" t="s">
        <v>62</v>
      </c>
      <c r="D307" s="159" t="s">
        <v>186</v>
      </c>
      <c r="E307" s="125">
        <v>3</v>
      </c>
      <c r="F307" s="125">
        <v>2</v>
      </c>
      <c r="G307" s="125">
        <v>4</v>
      </c>
      <c r="H307" s="125">
        <v>4</v>
      </c>
      <c r="I307" s="125">
        <v>4</v>
      </c>
      <c r="J307" s="35"/>
      <c r="K307" s="42"/>
      <c r="L307" s="35"/>
    </row>
    <row r="308" spans="1:12" s="16" customFormat="1" ht="20.25" customHeight="1" x14ac:dyDescent="0.25">
      <c r="B308" s="210"/>
      <c r="C308" s="100" t="s">
        <v>95</v>
      </c>
      <c r="D308" s="160"/>
      <c r="E308" s="121">
        <v>618.29999999999995</v>
      </c>
      <c r="F308" s="121">
        <v>915.8</v>
      </c>
      <c r="G308" s="121">
        <v>1892</v>
      </c>
      <c r="H308" s="121">
        <v>1892</v>
      </c>
      <c r="I308" s="121">
        <v>1892</v>
      </c>
      <c r="J308" s="35"/>
      <c r="K308" s="42"/>
      <c r="L308" s="35"/>
    </row>
    <row r="309" spans="1:12" s="16" customFormat="1" ht="18.75" customHeight="1" x14ac:dyDescent="0.25">
      <c r="B309" s="207" t="s">
        <v>147</v>
      </c>
      <c r="C309" s="103" t="s">
        <v>62</v>
      </c>
      <c r="D309" s="159" t="s">
        <v>186</v>
      </c>
      <c r="E309" s="125">
        <v>0</v>
      </c>
      <c r="F309" s="125">
        <v>350</v>
      </c>
      <c r="G309" s="125">
        <v>360</v>
      </c>
      <c r="H309" s="125">
        <v>360</v>
      </c>
      <c r="I309" s="125">
        <v>360</v>
      </c>
      <c r="J309" s="35"/>
      <c r="K309" s="42"/>
      <c r="L309" s="35"/>
    </row>
    <row r="310" spans="1:12" s="16" customFormat="1" ht="18.75" customHeight="1" x14ac:dyDescent="0.25">
      <c r="B310" s="208"/>
      <c r="C310" s="100" t="s">
        <v>95</v>
      </c>
      <c r="D310" s="160"/>
      <c r="E310" s="124">
        <v>0</v>
      </c>
      <c r="F310" s="124">
        <v>0</v>
      </c>
      <c r="G310" s="124">
        <v>0</v>
      </c>
      <c r="H310" s="124">
        <v>0</v>
      </c>
      <c r="I310" s="124">
        <v>0</v>
      </c>
      <c r="J310" s="35"/>
      <c r="K310" s="42"/>
      <c r="L310" s="35"/>
    </row>
    <row r="311" spans="1:12" s="15" customFormat="1" ht="19.5" customHeight="1" x14ac:dyDescent="0.2">
      <c r="A311" s="62"/>
      <c r="B311" s="143" t="s">
        <v>3</v>
      </c>
      <c r="C311" s="144"/>
      <c r="D311" s="144"/>
      <c r="E311" s="144"/>
      <c r="F311" s="144"/>
      <c r="G311" s="144"/>
      <c r="H311" s="144"/>
      <c r="I311" s="145"/>
    </row>
    <row r="312" spans="1:12" s="17" customFormat="1" ht="21.75" customHeight="1" x14ac:dyDescent="0.2">
      <c r="B312" s="6" t="s">
        <v>6</v>
      </c>
      <c r="C312" s="8"/>
      <c r="D312" s="8"/>
      <c r="E312" s="134">
        <f t="shared" ref="E312:I312" si="10">E313+E315</f>
        <v>13070</v>
      </c>
      <c r="F312" s="134">
        <f t="shared" si="10"/>
        <v>13070</v>
      </c>
      <c r="G312" s="134">
        <f t="shared" si="10"/>
        <v>567</v>
      </c>
      <c r="H312" s="134">
        <f t="shared" si="10"/>
        <v>567</v>
      </c>
      <c r="I312" s="134">
        <f t="shared" si="10"/>
        <v>567</v>
      </c>
    </row>
    <row r="313" spans="1:12" s="15" customFormat="1" ht="30.75" customHeight="1" x14ac:dyDescent="0.2">
      <c r="A313" s="62"/>
      <c r="B313" s="169" t="s">
        <v>4</v>
      </c>
      <c r="C313" s="110" t="s">
        <v>13</v>
      </c>
      <c r="D313" s="162" t="s">
        <v>116</v>
      </c>
      <c r="E313" s="74">
        <v>11319</v>
      </c>
      <c r="F313" s="74">
        <v>11319</v>
      </c>
      <c r="G313" s="48">
        <v>567</v>
      </c>
      <c r="H313" s="48">
        <v>567</v>
      </c>
      <c r="I313" s="48">
        <v>567</v>
      </c>
    </row>
    <row r="314" spans="1:12" s="15" customFormat="1" ht="30" customHeight="1" x14ac:dyDescent="0.2">
      <c r="A314" s="62"/>
      <c r="B314" s="170"/>
      <c r="C314" s="71" t="s">
        <v>95</v>
      </c>
      <c r="D314" s="164"/>
      <c r="E314" s="70">
        <v>28814.7</v>
      </c>
      <c r="F314" s="70">
        <v>30937.07</v>
      </c>
      <c r="G314" s="70">
        <v>38216.5</v>
      </c>
      <c r="H314" s="70">
        <v>38216.5</v>
      </c>
      <c r="I314" s="70">
        <v>38216.5</v>
      </c>
    </row>
    <row r="315" spans="1:12" s="15" customFormat="1" ht="25.5" customHeight="1" x14ac:dyDescent="0.2">
      <c r="A315" s="62"/>
      <c r="B315" s="169" t="s">
        <v>24</v>
      </c>
      <c r="C315" s="110" t="s">
        <v>13</v>
      </c>
      <c r="D315" s="162" t="s">
        <v>116</v>
      </c>
      <c r="E315" s="49">
        <v>1751</v>
      </c>
      <c r="F315" s="49">
        <v>1751</v>
      </c>
      <c r="G315" s="49">
        <v>0</v>
      </c>
      <c r="H315" s="49">
        <v>0</v>
      </c>
      <c r="I315" s="49">
        <v>0</v>
      </c>
    </row>
    <row r="316" spans="1:12" s="15" customFormat="1" ht="25.5" customHeight="1" x14ac:dyDescent="0.2">
      <c r="A316" s="62"/>
      <c r="B316" s="170"/>
      <c r="C316" s="71" t="s">
        <v>95</v>
      </c>
      <c r="D316" s="164"/>
      <c r="E316" s="70">
        <v>4458.6000000000004</v>
      </c>
      <c r="F316" s="70">
        <v>4787.03</v>
      </c>
      <c r="G316" s="70">
        <v>0</v>
      </c>
      <c r="H316" s="70">
        <v>0</v>
      </c>
      <c r="I316" s="70">
        <v>0</v>
      </c>
    </row>
    <row r="317" spans="1:12" ht="39" customHeight="1" x14ac:dyDescent="0.2">
      <c r="B317" s="146" t="s">
        <v>20</v>
      </c>
      <c r="C317" s="147"/>
      <c r="D317" s="147"/>
      <c r="E317" s="147"/>
      <c r="F317" s="147"/>
      <c r="G317" s="147"/>
      <c r="H317" s="147"/>
      <c r="I317" s="148"/>
    </row>
    <row r="318" spans="1:12" ht="21.75" customHeight="1" x14ac:dyDescent="0.2">
      <c r="B318" s="55" t="s">
        <v>6</v>
      </c>
      <c r="C318" s="52"/>
      <c r="D318" s="52"/>
      <c r="E318" s="56"/>
      <c r="F318" s="57"/>
      <c r="G318" s="57"/>
      <c r="H318" s="57"/>
      <c r="I318" s="57"/>
      <c r="J318" s="21" t="e">
        <f>#REF!-#REF!</f>
        <v>#REF!</v>
      </c>
    </row>
    <row r="319" spans="1:12" ht="25.5" x14ac:dyDescent="0.2">
      <c r="B319" s="167" t="s">
        <v>21</v>
      </c>
      <c r="C319" s="110" t="s">
        <v>98</v>
      </c>
      <c r="D319" s="162" t="s">
        <v>199</v>
      </c>
      <c r="E319" s="53">
        <v>757</v>
      </c>
      <c r="F319" s="70">
        <v>757</v>
      </c>
      <c r="G319" s="70">
        <v>757</v>
      </c>
      <c r="H319" s="70">
        <v>757</v>
      </c>
      <c r="I319" s="70">
        <v>757</v>
      </c>
    </row>
    <row r="320" spans="1:12" ht="19.5" customHeight="1" x14ac:dyDescent="0.2">
      <c r="B320" s="168"/>
      <c r="C320" s="110" t="s">
        <v>95</v>
      </c>
      <c r="D320" s="164"/>
      <c r="E320" s="66">
        <v>14442.1</v>
      </c>
      <c r="F320" s="67">
        <v>13657.8</v>
      </c>
      <c r="G320" s="67">
        <v>15579.6</v>
      </c>
      <c r="H320" s="67">
        <v>15579.6</v>
      </c>
      <c r="I320" s="67">
        <v>15579.6</v>
      </c>
    </row>
    <row r="321" spans="2:9" ht="38.25" customHeight="1" x14ac:dyDescent="0.2">
      <c r="B321" s="149" t="s">
        <v>22</v>
      </c>
      <c r="C321" s="50" t="s">
        <v>99</v>
      </c>
      <c r="D321" s="152" t="s">
        <v>199</v>
      </c>
      <c r="E321" s="54">
        <v>15000</v>
      </c>
      <c r="F321" s="51">
        <v>15000</v>
      </c>
      <c r="G321" s="51">
        <v>15000</v>
      </c>
      <c r="H321" s="51">
        <v>15000</v>
      </c>
      <c r="I321" s="51">
        <v>15000</v>
      </c>
    </row>
    <row r="322" spans="2:9" ht="15.75" customHeight="1" x14ac:dyDescent="0.2">
      <c r="B322" s="149"/>
      <c r="C322" s="50" t="s">
        <v>95</v>
      </c>
      <c r="D322" s="152"/>
      <c r="E322" s="51">
        <v>1720.8</v>
      </c>
      <c r="F322" s="51">
        <v>3943.7</v>
      </c>
      <c r="G322" s="51">
        <v>4496.8</v>
      </c>
      <c r="H322" s="51">
        <v>4496.8</v>
      </c>
      <c r="I322" s="51">
        <v>4496.8</v>
      </c>
    </row>
    <row r="323" spans="2:9" ht="23.25" customHeight="1" x14ac:dyDescent="0.2">
      <c r="B323" s="149" t="s">
        <v>45</v>
      </c>
      <c r="C323" s="50" t="s">
        <v>23</v>
      </c>
      <c r="D323" s="152" t="s">
        <v>199</v>
      </c>
      <c r="E323" s="52">
        <v>30</v>
      </c>
      <c r="F323" s="52">
        <v>30</v>
      </c>
      <c r="G323" s="52">
        <v>30</v>
      </c>
      <c r="H323" s="52">
        <v>30</v>
      </c>
      <c r="I323" s="52">
        <v>30</v>
      </c>
    </row>
    <row r="324" spans="2:9" ht="19.5" customHeight="1" x14ac:dyDescent="0.2">
      <c r="B324" s="149"/>
      <c r="C324" s="50" t="s">
        <v>95</v>
      </c>
      <c r="D324" s="152"/>
      <c r="E324" s="51">
        <v>5738.1</v>
      </c>
      <c r="F324" s="51">
        <v>5320.9</v>
      </c>
      <c r="G324" s="51">
        <v>6068.2</v>
      </c>
      <c r="H324" s="51">
        <v>6068.2</v>
      </c>
      <c r="I324" s="51">
        <v>6068.2</v>
      </c>
    </row>
    <row r="325" spans="2:9" x14ac:dyDescent="0.2">
      <c r="B325" s="15"/>
      <c r="C325" s="2"/>
      <c r="D325" s="2"/>
      <c r="E325" s="15"/>
      <c r="F325" s="15"/>
      <c r="G325" s="15"/>
      <c r="H325" s="15"/>
      <c r="I325" s="15"/>
    </row>
    <row r="326" spans="2:9" hidden="1" x14ac:dyDescent="0.2">
      <c r="B326" s="15"/>
      <c r="C326" s="2" t="s">
        <v>70</v>
      </c>
      <c r="D326" s="2"/>
      <c r="E326" s="12" t="e">
        <f>SUM(#REF!+#REF!+#REF!+#REF!+#REF!)</f>
        <v>#REF!</v>
      </c>
      <c r="F326" s="12" t="e">
        <f>SUM(#REF!+#REF!+#REF!+#REF!+#REF!)</f>
        <v>#REF!</v>
      </c>
      <c r="G326" s="12" t="e">
        <f>SUM(#REF!+#REF!+#REF!+#REF!+#REF!)</f>
        <v>#REF!</v>
      </c>
      <c r="H326" s="12" t="e">
        <f>SUM(#REF!+#REF!+#REF!+#REF!+#REF!)</f>
        <v>#REF!</v>
      </c>
      <c r="I326" s="12" t="e">
        <f>SUM(#REF!+#REF!+#REF!+#REF!+#REF!)</f>
        <v>#REF!</v>
      </c>
    </row>
    <row r="327" spans="2:9" hidden="1" x14ac:dyDescent="0.2"/>
    <row r="328" spans="2:9" hidden="1" x14ac:dyDescent="0.2">
      <c r="E328" s="1">
        <v>3177202.1</v>
      </c>
      <c r="F328" s="1">
        <v>3581350.4</v>
      </c>
      <c r="G328" s="1">
        <v>3716596.1</v>
      </c>
      <c r="H328" s="1">
        <v>3817969.8</v>
      </c>
      <c r="I328" s="1">
        <v>3835033.7</v>
      </c>
    </row>
    <row r="329" spans="2:9" hidden="1" x14ac:dyDescent="0.2">
      <c r="F329" s="13" t="e">
        <f>SUM(F328-F326)</f>
        <v>#REF!</v>
      </c>
      <c r="G329" s="13" t="e">
        <f>SUM(G328-G326)</f>
        <v>#REF!</v>
      </c>
      <c r="H329" s="13" t="e">
        <f t="shared" ref="H329:I329" si="11">SUM(H328-H326)</f>
        <v>#REF!</v>
      </c>
      <c r="I329" s="13" t="e">
        <f t="shared" si="11"/>
        <v>#REF!</v>
      </c>
    </row>
    <row r="330" spans="2:9" ht="15.75" hidden="1" customHeight="1" x14ac:dyDescent="0.2">
      <c r="E330" s="13"/>
    </row>
    <row r="331" spans="2:9" ht="18" hidden="1" customHeight="1" x14ac:dyDescent="0.2"/>
    <row r="332" spans="2:9" ht="26.25" customHeight="1" x14ac:dyDescent="0.2"/>
  </sheetData>
  <mergeCells count="289">
    <mergeCell ref="B309:B310"/>
    <mergeCell ref="D309:D310"/>
    <mergeCell ref="B307:B308"/>
    <mergeCell ref="D307:D308"/>
    <mergeCell ref="B301:B302"/>
    <mergeCell ref="D301:D302"/>
    <mergeCell ref="B303:B304"/>
    <mergeCell ref="D303:D304"/>
    <mergeCell ref="B305:B306"/>
    <mergeCell ref="D305:D306"/>
    <mergeCell ref="B22:B23"/>
    <mergeCell ref="D22:D23"/>
    <mergeCell ref="B68:B72"/>
    <mergeCell ref="D40:D41"/>
    <mergeCell ref="B32:B33"/>
    <mergeCell ref="B34:B35"/>
    <mergeCell ref="B36:B37"/>
    <mergeCell ref="B38:B39"/>
    <mergeCell ref="B24:B25"/>
    <mergeCell ref="D128:D129"/>
    <mergeCell ref="D113:D114"/>
    <mergeCell ref="D115:D116"/>
    <mergeCell ref="D117:D118"/>
    <mergeCell ref="B128:B129"/>
    <mergeCell ref="B120:B121"/>
    <mergeCell ref="B142:B143"/>
    <mergeCell ref="D134:D135"/>
    <mergeCell ref="B134:B135"/>
    <mergeCell ref="D132:D133"/>
    <mergeCell ref="B140:B141"/>
    <mergeCell ref="D140:D141"/>
    <mergeCell ref="D138:D139"/>
    <mergeCell ref="B138:B139"/>
    <mergeCell ref="B136:B137"/>
    <mergeCell ref="D136:D137"/>
    <mergeCell ref="B132:B133"/>
    <mergeCell ref="D142:D143"/>
    <mergeCell ref="B122:B123"/>
    <mergeCell ref="B130:I130"/>
    <mergeCell ref="D99:D100"/>
    <mergeCell ref="D109:D110"/>
    <mergeCell ref="B109:B110"/>
    <mergeCell ref="B124:B125"/>
    <mergeCell ref="B126:B127"/>
    <mergeCell ref="D120:D121"/>
    <mergeCell ref="D122:D123"/>
    <mergeCell ref="D124:D125"/>
    <mergeCell ref="D126:D127"/>
    <mergeCell ref="B111:B112"/>
    <mergeCell ref="B113:B114"/>
    <mergeCell ref="B115:B116"/>
    <mergeCell ref="B117:B118"/>
    <mergeCell ref="B99:B100"/>
    <mergeCell ref="B105:B106"/>
    <mergeCell ref="B107:B108"/>
    <mergeCell ref="B101:B102"/>
    <mergeCell ref="D111:D112"/>
    <mergeCell ref="D105:D106"/>
    <mergeCell ref="D107:D108"/>
    <mergeCell ref="D101:D102"/>
    <mergeCell ref="D103:D104"/>
    <mergeCell ref="B103:B104"/>
    <mergeCell ref="D24:D25"/>
    <mergeCell ref="B28:B29"/>
    <mergeCell ref="D97:D98"/>
    <mergeCell ref="B97:B98"/>
    <mergeCell ref="B30:B31"/>
    <mergeCell ref="B40:B41"/>
    <mergeCell ref="B42:B43"/>
    <mergeCell ref="B44:B45"/>
    <mergeCell ref="B80:B81"/>
    <mergeCell ref="D44:D45"/>
    <mergeCell ref="B46:B47"/>
    <mergeCell ref="D46:D47"/>
    <mergeCell ref="B48:B51"/>
    <mergeCell ref="D48:D51"/>
    <mergeCell ref="D65:D66"/>
    <mergeCell ref="B52:B56"/>
    <mergeCell ref="D52:D56"/>
    <mergeCell ref="B57:B58"/>
    <mergeCell ref="B84:B85"/>
    <mergeCell ref="D84:D85"/>
    <mergeCell ref="B73:B74"/>
    <mergeCell ref="B75:B77"/>
    <mergeCell ref="B78:B79"/>
    <mergeCell ref="D78:D79"/>
    <mergeCell ref="B26:B27"/>
    <mergeCell ref="D26:D27"/>
    <mergeCell ref="D68:D72"/>
    <mergeCell ref="D80:D81"/>
    <mergeCell ref="B82:B83"/>
    <mergeCell ref="D82:D83"/>
    <mergeCell ref="B86:I86"/>
    <mergeCell ref="D93:D94"/>
    <mergeCell ref="D95:D96"/>
    <mergeCell ref="B95:B96"/>
    <mergeCell ref="B88:B89"/>
    <mergeCell ref="B90:B92"/>
    <mergeCell ref="B93:B94"/>
    <mergeCell ref="D88:D89"/>
    <mergeCell ref="D90:D92"/>
    <mergeCell ref="D57:D58"/>
    <mergeCell ref="B59:B60"/>
    <mergeCell ref="D59:D60"/>
    <mergeCell ref="B61:B62"/>
    <mergeCell ref="D61:D62"/>
    <mergeCell ref="B63:B64"/>
    <mergeCell ref="D63:D64"/>
    <mergeCell ref="B65:B66"/>
    <mergeCell ref="H1:I1"/>
    <mergeCell ref="H2:I2"/>
    <mergeCell ref="G6:I6"/>
    <mergeCell ref="B6:B7"/>
    <mergeCell ref="D6:D7"/>
    <mergeCell ref="C6:C7"/>
    <mergeCell ref="E6:E7"/>
    <mergeCell ref="B20:B21"/>
    <mergeCell ref="D20:D21"/>
    <mergeCell ref="B4:I4"/>
    <mergeCell ref="B8:I8"/>
    <mergeCell ref="F6:F7"/>
    <mergeCell ref="B10:B11"/>
    <mergeCell ref="B16:B17"/>
    <mergeCell ref="D16:D17"/>
    <mergeCell ref="B18:B19"/>
    <mergeCell ref="D18:D19"/>
    <mergeCell ref="B12:B15"/>
    <mergeCell ref="D323:D324"/>
    <mergeCell ref="B319:B320"/>
    <mergeCell ref="D319:D320"/>
    <mergeCell ref="B315:B316"/>
    <mergeCell ref="B321:B322"/>
    <mergeCell ref="B313:B314"/>
    <mergeCell ref="D321:D322"/>
    <mergeCell ref="D313:D314"/>
    <mergeCell ref="D315:D316"/>
    <mergeCell ref="B323:B324"/>
    <mergeCell ref="B299:B300"/>
    <mergeCell ref="D299:D300"/>
    <mergeCell ref="B273:B276"/>
    <mergeCell ref="D273:D276"/>
    <mergeCell ref="B277:B280"/>
    <mergeCell ref="D277:D280"/>
    <mergeCell ref="B289:B292"/>
    <mergeCell ref="D289:D292"/>
    <mergeCell ref="D271:D272"/>
    <mergeCell ref="D283:D284"/>
    <mergeCell ref="B283:B284"/>
    <mergeCell ref="B287:B288"/>
    <mergeCell ref="D287:D288"/>
    <mergeCell ref="D285:D286"/>
    <mergeCell ref="D293:D294"/>
    <mergeCell ref="D295:D296"/>
    <mergeCell ref="B295:B296"/>
    <mergeCell ref="B293:B294"/>
    <mergeCell ref="D297:D298"/>
    <mergeCell ref="B297:B298"/>
    <mergeCell ref="B285:B286"/>
    <mergeCell ref="D269:D270"/>
    <mergeCell ref="D281:D282"/>
    <mergeCell ref="B265:B266"/>
    <mergeCell ref="D265:D266"/>
    <mergeCell ref="B262:B263"/>
    <mergeCell ref="D262:D263"/>
    <mergeCell ref="D260:D261"/>
    <mergeCell ref="B260:B261"/>
    <mergeCell ref="B267:B268"/>
    <mergeCell ref="D267:D268"/>
    <mergeCell ref="B271:B272"/>
    <mergeCell ref="B281:B282"/>
    <mergeCell ref="B269:B270"/>
    <mergeCell ref="D252:D253"/>
    <mergeCell ref="B252:B253"/>
    <mergeCell ref="D250:D251"/>
    <mergeCell ref="B250:B251"/>
    <mergeCell ref="D258:D259"/>
    <mergeCell ref="B258:B259"/>
    <mergeCell ref="B256:B257"/>
    <mergeCell ref="D256:D257"/>
    <mergeCell ref="D254:D255"/>
    <mergeCell ref="B254:B255"/>
    <mergeCell ref="B240:B241"/>
    <mergeCell ref="D240:D241"/>
    <mergeCell ref="D238:D239"/>
    <mergeCell ref="B238:B239"/>
    <mergeCell ref="D248:D249"/>
    <mergeCell ref="B248:B249"/>
    <mergeCell ref="D246:D247"/>
    <mergeCell ref="B246:B247"/>
    <mergeCell ref="B244:B245"/>
    <mergeCell ref="D244:D245"/>
    <mergeCell ref="D242:D243"/>
    <mergeCell ref="B242:B243"/>
    <mergeCell ref="D236:D237"/>
    <mergeCell ref="B236:B237"/>
    <mergeCell ref="D234:D235"/>
    <mergeCell ref="B234:B235"/>
    <mergeCell ref="D232:D233"/>
    <mergeCell ref="B232:B233"/>
    <mergeCell ref="B224:B225"/>
    <mergeCell ref="D224:D225"/>
    <mergeCell ref="D230:D231"/>
    <mergeCell ref="B230:B231"/>
    <mergeCell ref="D222:D223"/>
    <mergeCell ref="B222:B223"/>
    <mergeCell ref="D220:D221"/>
    <mergeCell ref="B220:B221"/>
    <mergeCell ref="D218:D219"/>
    <mergeCell ref="B218:B219"/>
    <mergeCell ref="B216:B217"/>
    <mergeCell ref="D216:D217"/>
    <mergeCell ref="B228:B229"/>
    <mergeCell ref="D228:D229"/>
    <mergeCell ref="B226:B227"/>
    <mergeCell ref="D226:D227"/>
    <mergeCell ref="D206:D207"/>
    <mergeCell ref="B206:B207"/>
    <mergeCell ref="D204:D205"/>
    <mergeCell ref="B204:B205"/>
    <mergeCell ref="D202:D203"/>
    <mergeCell ref="B202:B203"/>
    <mergeCell ref="D214:D215"/>
    <mergeCell ref="B214:B215"/>
    <mergeCell ref="D212:D213"/>
    <mergeCell ref="B212:B213"/>
    <mergeCell ref="B210:B211"/>
    <mergeCell ref="D210:D211"/>
    <mergeCell ref="D208:D209"/>
    <mergeCell ref="B208:B209"/>
    <mergeCell ref="D194:D195"/>
    <mergeCell ref="B194:B195"/>
    <mergeCell ref="D192:D193"/>
    <mergeCell ref="B192:B193"/>
    <mergeCell ref="D190:D191"/>
    <mergeCell ref="B190:B191"/>
    <mergeCell ref="D200:D201"/>
    <mergeCell ref="B200:B201"/>
    <mergeCell ref="D198:D199"/>
    <mergeCell ref="B198:B199"/>
    <mergeCell ref="D196:D197"/>
    <mergeCell ref="B196:B197"/>
    <mergeCell ref="D180:D181"/>
    <mergeCell ref="B180:B181"/>
    <mergeCell ref="B178:B179"/>
    <mergeCell ref="D178:D179"/>
    <mergeCell ref="D176:D177"/>
    <mergeCell ref="B176:B177"/>
    <mergeCell ref="D188:D189"/>
    <mergeCell ref="B188:B189"/>
    <mergeCell ref="D186:D187"/>
    <mergeCell ref="B186:B187"/>
    <mergeCell ref="D184:D185"/>
    <mergeCell ref="B184:B185"/>
    <mergeCell ref="D182:D183"/>
    <mergeCell ref="B182:B183"/>
    <mergeCell ref="D160:D161"/>
    <mergeCell ref="B160:B161"/>
    <mergeCell ref="D174:D175"/>
    <mergeCell ref="B174:B175"/>
    <mergeCell ref="B172:B173"/>
    <mergeCell ref="D172:D173"/>
    <mergeCell ref="B170:B171"/>
    <mergeCell ref="D170:D171"/>
    <mergeCell ref="B168:B169"/>
    <mergeCell ref="D168:D169"/>
    <mergeCell ref="B311:I311"/>
    <mergeCell ref="B317:I317"/>
    <mergeCell ref="B150:B151"/>
    <mergeCell ref="D150:D151"/>
    <mergeCell ref="D146:D147"/>
    <mergeCell ref="B146:B147"/>
    <mergeCell ref="B144:B145"/>
    <mergeCell ref="D144:D145"/>
    <mergeCell ref="B148:B149"/>
    <mergeCell ref="D148:D149"/>
    <mergeCell ref="D156:D157"/>
    <mergeCell ref="B156:B157"/>
    <mergeCell ref="D154:D155"/>
    <mergeCell ref="B154:B155"/>
    <mergeCell ref="D152:D153"/>
    <mergeCell ref="B152:B153"/>
    <mergeCell ref="B158:B159"/>
    <mergeCell ref="D158:D159"/>
    <mergeCell ref="D166:D167"/>
    <mergeCell ref="B166:B167"/>
    <mergeCell ref="B164:B165"/>
    <mergeCell ref="D164:D165"/>
    <mergeCell ref="D162:D163"/>
    <mergeCell ref="B162:B163"/>
  </mergeCells>
  <pageMargins left="0.78740157480314965" right="0.39370078740157483" top="0.25" bottom="0.17" header="0.51181102362204722" footer="0.17"/>
  <pageSetup paperSize="9" scale="83" fitToHeight="0" orientation="landscape" r:id="rId1"/>
  <colBreaks count="1" manualBreakCount="1">
    <brk id="9" max="40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2024-11-16T08:22:17Z</dcterms:modified>
</cp:coreProperties>
</file>